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erv\Область обмена\Аппарат Управления\Тендерный комитет\Документы Службы\$КД2017\6.Проекты закупок\Проскурина Наталья\1. В работе\11412В\Публикация\см\"/>
    </mc:Choice>
  </mc:AlternateContent>
  <bookViews>
    <workbookView xWindow="14385" yWindow="465" windowWidth="14430" windowHeight="11865" tabRatio="601"/>
  </bookViews>
  <sheets>
    <sheet name="Смета по ТСН-2001" sheetId="5" r:id="rId1"/>
    <sheet name="Аналог" sheetId="6" r:id="rId2"/>
  </sheets>
  <definedNames>
    <definedName name="_xlnm.Print_Titles" localSheetId="0">'Смета по ТСН-2001'!$14:$14</definedName>
    <definedName name="_xlnm.Print_Area" localSheetId="1">Аналог!$A$1:$C$74</definedName>
    <definedName name="_xlnm.Print_Area" localSheetId="0">'Смета по ТСН-2001'!$A$1:$K$48</definedName>
  </definedNames>
  <calcPr calcId="162913"/>
</workbook>
</file>

<file path=xl/calcChain.xml><?xml version="1.0" encoding="utf-8"?>
<calcChain xmlns="http://schemas.openxmlformats.org/spreadsheetml/2006/main">
  <c r="A3" i="5" l="1"/>
  <c r="C18" i="5" l="1"/>
  <c r="C43" i="6"/>
  <c r="C39" i="6"/>
  <c r="C38" i="6"/>
  <c r="C37" i="6"/>
  <c r="C10" i="6"/>
  <c r="C9" i="6"/>
  <c r="C8" i="6"/>
  <c r="C7" i="6"/>
  <c r="C30" i="6" l="1"/>
  <c r="C29" i="6"/>
  <c r="C28" i="6"/>
  <c r="C27" i="6"/>
  <c r="C49" i="6" l="1"/>
  <c r="C58" i="6" s="1"/>
  <c r="K28" i="5" s="1"/>
  <c r="C48" i="6"/>
  <c r="C57" i="6" s="1"/>
  <c r="K27" i="5" s="1"/>
  <c r="C47" i="6"/>
  <c r="C56" i="6" s="1"/>
  <c r="K26" i="5" s="1"/>
  <c r="C46" i="6"/>
  <c r="C55" i="6" s="1"/>
  <c r="K25" i="5" s="1"/>
  <c r="C59" i="6" l="1"/>
  <c r="C33" i="5"/>
  <c r="C32" i="5"/>
  <c r="C31" i="5"/>
  <c r="C30" i="5"/>
  <c r="A43" i="6"/>
  <c r="A40" i="6"/>
  <c r="A36" i="6"/>
  <c r="A31" i="6"/>
  <c r="C26" i="6"/>
  <c r="AH33" i="5"/>
  <c r="AH32" i="5"/>
  <c r="AH31" i="5"/>
  <c r="AH30" i="5"/>
  <c r="AE9" i="5"/>
  <c r="AE6" i="5"/>
  <c r="C11" i="6" l="1"/>
  <c r="C36" i="6" l="1"/>
  <c r="C21" i="6"/>
  <c r="C40" i="6"/>
  <c r="C6" i="6"/>
  <c r="C16" i="6"/>
  <c r="C31" i="6"/>
  <c r="C44" i="6" l="1"/>
  <c r="C52" i="6" s="1"/>
  <c r="C60" i="6" s="1"/>
  <c r="J30" i="5"/>
  <c r="J19" i="5" l="1"/>
  <c r="J21" i="5" s="1"/>
  <c r="K18" i="5" l="1"/>
  <c r="J23" i="5"/>
  <c r="J31" i="5" s="1"/>
  <c r="C61" i="6"/>
  <c r="C62" i="6" s="1"/>
  <c r="L33" i="5" s="1"/>
  <c r="J32" i="5" l="1"/>
  <c r="J33" i="5" s="1"/>
  <c r="J11" i="5" s="1"/>
</calcChain>
</file>

<file path=xl/sharedStrings.xml><?xml version="1.0" encoding="utf-8"?>
<sst xmlns="http://schemas.openxmlformats.org/spreadsheetml/2006/main" count="124" uniqueCount="87">
  <si>
    <t>Строительные работы</t>
  </si>
  <si>
    <t>(наименование стройки)</t>
  </si>
  <si>
    <t>(локальный сметный расчет)</t>
  </si>
  <si>
    <t>текущая   цена</t>
  </si>
  <si>
    <t>Сметная стоимость</t>
  </si>
  <si>
    <t>тыс.руб</t>
  </si>
  <si>
    <t>№№ п/п</t>
  </si>
  <si>
    <t>Шифр расценки и коды ресурсов</t>
  </si>
  <si>
    <t>Наименование работ и затрат</t>
  </si>
  <si>
    <t>Единица измерения</t>
  </si>
  <si>
    <t>Кол-во единиц</t>
  </si>
  <si>
    <t>Цена на ед. изм. руб.</t>
  </si>
  <si>
    <t>Попра-вочные коэфф.</t>
  </si>
  <si>
    <t>Коэфф. зимних удоро-жаний</t>
  </si>
  <si>
    <t>ВСЕГО в базисном уровне цен, руб.</t>
  </si>
  <si>
    <t>Коэфф. пересчета и нормы НР и СП</t>
  </si>
  <si>
    <t>Всего в текущем уровне цен, руб.</t>
  </si>
  <si>
    <t>Форма № 1б</t>
  </si>
  <si>
    <t xml:space="preserve">Составил   </t>
  </si>
  <si>
    <t xml:space="preserve">Проверил   </t>
  </si>
  <si>
    <t>ШТ.</t>
  </si>
  <si>
    <t>Основание: Ведомость объемов работ</t>
  </si>
  <si>
    <t>Всего по реконструкции ЦТП, в том числе:</t>
  </si>
  <si>
    <t>строительные работы</t>
  </si>
  <si>
    <t>монтажные работы</t>
  </si>
  <si>
    <t>прочие работы</t>
  </si>
  <si>
    <t>оборудование</t>
  </si>
  <si>
    <t xml:space="preserve">Реконструкция ЦТП </t>
  </si>
  <si>
    <t>№ п/п</t>
  </si>
  <si>
    <t>Наименование разделов (работ)</t>
  </si>
  <si>
    <t>Сумма, руб.</t>
  </si>
  <si>
    <t>1.1</t>
  </si>
  <si>
    <t>1.2</t>
  </si>
  <si>
    <t>Монтажные работы</t>
  </si>
  <si>
    <t>1.3</t>
  </si>
  <si>
    <t>Оборудование</t>
  </si>
  <si>
    <t>1.4</t>
  </si>
  <si>
    <t>Прочие работы</t>
  </si>
  <si>
    <t>2.1</t>
  </si>
  <si>
    <t>2.2</t>
  </si>
  <si>
    <t>3.1</t>
  </si>
  <si>
    <t>3.2</t>
  </si>
  <si>
    <t>3.3</t>
  </si>
  <si>
    <t>3.4</t>
  </si>
  <si>
    <t>4.1</t>
  </si>
  <si>
    <t>4.2</t>
  </si>
  <si>
    <t>Водопроводная насосная станция</t>
  </si>
  <si>
    <t>5.1</t>
  </si>
  <si>
    <t>5.2</t>
  </si>
  <si>
    <t>5.3</t>
  </si>
  <si>
    <t>5.4</t>
  </si>
  <si>
    <t>Внутренние системы водоснабжения и канализации</t>
  </si>
  <si>
    <t>6.1</t>
  </si>
  <si>
    <t>6.2</t>
  </si>
  <si>
    <t>Узел коммерческого учета тепловой энергии</t>
  </si>
  <si>
    <t>7.1</t>
  </si>
  <si>
    <t>7.2</t>
  </si>
  <si>
    <t>Архитектурно-строительные решения</t>
  </si>
  <si>
    <t>Пусконаладочные работы</t>
  </si>
  <si>
    <t>Итого:</t>
  </si>
  <si>
    <t>в том числе:</t>
  </si>
  <si>
    <t>прочие</t>
  </si>
  <si>
    <t>Временные здания и сооружения 1,4% от СМР</t>
  </si>
  <si>
    <t>Итого с ВЗиС</t>
  </si>
  <si>
    <t>Непредвиденные -3%</t>
  </si>
  <si>
    <t>ВСЕГО</t>
  </si>
  <si>
    <t xml:space="preserve">Тепломеханические решения  </t>
  </si>
  <si>
    <t>Силовое Электрооборудование и освещение</t>
  </si>
  <si>
    <t xml:space="preserve">Автоматизация технологических процессов теплового пункта </t>
  </si>
  <si>
    <t xml:space="preserve"> Диспетчеризация теплового пункта </t>
  </si>
  <si>
    <t>6.3</t>
  </si>
  <si>
    <t>(Распоряжение № 27-Р от 17.09.2015г.)</t>
  </si>
  <si>
    <t>Smeta.RU  (495) 974-1589     ТСН-2001 (© ОАО МЦЦС 'Мосстройцены', 2006)</t>
  </si>
  <si>
    <t>2.3</t>
  </si>
  <si>
    <t>2.4</t>
  </si>
  <si>
    <t>4.3</t>
  </si>
  <si>
    <t>4.4</t>
  </si>
  <si>
    <t xml:space="preserve">Составлен(а) в уровне текущих (прогнозных) цен ТСН-2001 Октябрь 2016 года </t>
  </si>
  <si>
    <t>Итого с коэффициентом инфляции с Сентября 2015 на Сентябрь 2016: К=1,078 (Распоряжение № 27-Р от 17.09.2015г.)</t>
  </si>
  <si>
    <t>Реконструкция ЦТП в помещении бывшей МК № 01-01-009 для подключения к системам теплоснабжения ПАО "МОЭК" объекта капитального строительства "административного здания",  расположенного по адресу: г. Москва, ул. Воронцовская, д.1/3, стр.2, 2А</t>
  </si>
  <si>
    <t>Корректировка расчета-аналога по ЦТП, расположенной по адресу: 
г. Москва, Автозаводская ул., д.23, к.12 (колледж) с тепловой нагрузкой 2,93 Гкал/час, составленную в текущих ценах с индексами пересчета на Июнь 2016г.</t>
  </si>
  <si>
    <t>Реконструкция ЦТП в помещении бывшей МК № 01-01-009
(Qmax=2,93 Гкал/час)</t>
  </si>
  <si>
    <t>Объект-аналог «Реконструкции ЦТП Автозаводская ул., д.23, к.12"</t>
  </si>
  <si>
    <t>Итого с коэффициентом инфляции с Июня 2016 на Январь 2017:  К=</t>
  </si>
  <si>
    <t>Проверил: Начальник расчетно-сметного сектора ОСД СНС______________________________Н.И. Диченко</t>
  </si>
  <si>
    <t>Составил: Ведущий специалист расчетно-сметного сектора ОСД СНС_____________________В.А. Киселев</t>
  </si>
  <si>
    <t>Расчет договорной цены (ЛОКАЛЬНАЯ СМЕТА)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</si>
</sst>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\ #,##0.00"/>
    <numFmt numFmtId="165" formatCode="mmmm"/>
    <numFmt numFmtId="166" formatCode="#,##0.00####;[Red]\-\ #,##0.00####"/>
    <numFmt numFmtId="167" formatCode="#,##0.00_ ;[Red]\-#,##0.00\ "/>
  </numFmts>
  <fonts count="18" x14ac:knownFonts="1">
    <font>
      <sz val="10"/>
      <name val="Arial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b/>
      <sz val="13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C0000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theme="0"/>
      <name val="Arial"/>
      <family val="2"/>
      <charset val="204"/>
    </font>
    <font>
      <sz val="10"/>
      <color rgb="FF0000FF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03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164" fontId="3" fillId="0" borderId="0" xfId="0" applyNumberFormat="1" applyFont="1"/>
    <xf numFmtId="165" fontId="3" fillId="0" borderId="0" xfId="0" applyNumberFormat="1" applyFont="1"/>
    <xf numFmtId="1" fontId="3" fillId="0" borderId="0" xfId="0" applyNumberFormat="1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0" xfId="0" applyNumberFormat="1" applyFont="1" applyAlignment="1">
      <alignment horizontal="right"/>
    </xf>
    <xf numFmtId="0" fontId="3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166" fontId="3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/>
    <xf numFmtId="0" fontId="13" fillId="0" borderId="0" xfId="0" applyFont="1"/>
    <xf numFmtId="0" fontId="3" fillId="0" borderId="0" xfId="0" applyFont="1" applyAlignment="1">
      <alignment horizontal="left"/>
    </xf>
    <xf numFmtId="167" fontId="13" fillId="0" borderId="0" xfId="0" applyNumberFormat="1" applyFont="1"/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4" fontId="12" fillId="2" borderId="6" xfId="0" applyNumberFormat="1" applyFont="1" applyFill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 indent="2"/>
    </xf>
    <xf numFmtId="4" fontId="0" fillId="0" borderId="9" xfId="0" applyNumberFormat="1" applyBorder="1" applyAlignment="1">
      <alignment horizontal="center" vertical="center" wrapText="1"/>
    </xf>
    <xf numFmtId="49" fontId="0" fillId="0" borderId="10" xfId="0" applyNumberFormat="1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 indent="2"/>
    </xf>
    <xf numFmtId="4" fontId="0" fillId="0" borderId="11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0" fontId="0" fillId="0" borderId="13" xfId="0" applyBorder="1" applyAlignment="1">
      <alignment horizontal="left" vertical="center" wrapText="1" indent="2"/>
    </xf>
    <xf numFmtId="4" fontId="0" fillId="0" borderId="14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left" vertical="center" wrapText="1" indent="2"/>
    </xf>
    <xf numFmtId="0" fontId="14" fillId="3" borderId="8" xfId="0" applyFont="1" applyFill="1" applyBorder="1" applyAlignment="1">
      <alignment horizontal="left" vertical="center" wrapText="1" indent="2"/>
    </xf>
    <xf numFmtId="0" fontId="15" fillId="0" borderId="13" xfId="0" applyFont="1" applyFill="1" applyBorder="1" applyAlignment="1">
      <alignment horizontal="left" vertical="center" wrapText="1" indent="2"/>
    </xf>
    <xf numFmtId="49" fontId="14" fillId="0" borderId="8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left" vertical="center" wrapText="1" indent="2"/>
    </xf>
    <xf numFmtId="4" fontId="15" fillId="0" borderId="8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0" fontId="0" fillId="0" borderId="8" xfId="0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 indent="2"/>
    </xf>
    <xf numFmtId="4" fontId="14" fillId="0" borderId="8" xfId="0" applyNumberFormat="1" applyFont="1" applyFill="1" applyBorder="1" applyAlignment="1">
      <alignment horizontal="center" vertical="center" wrapText="1"/>
    </xf>
    <xf numFmtId="49" fontId="14" fillId="4" borderId="8" xfId="0" applyNumberFormat="1" applyFont="1" applyFill="1" applyBorder="1" applyAlignment="1">
      <alignment horizontal="center" vertical="center" wrapText="1"/>
    </xf>
    <xf numFmtId="0" fontId="14" fillId="4" borderId="8" xfId="0" applyFont="1" applyFill="1" applyBorder="1" applyAlignment="1">
      <alignment horizontal="left" vertical="center" wrapText="1" indent="2"/>
    </xf>
    <xf numFmtId="4" fontId="14" fillId="4" borderId="8" xfId="0" applyNumberFormat="1" applyFont="1" applyFill="1" applyBorder="1" applyAlignment="1">
      <alignment horizontal="center" vertical="center" wrapText="1"/>
    </xf>
    <xf numFmtId="0" fontId="1" fillId="0" borderId="0" xfId="0" applyFont="1"/>
    <xf numFmtId="164" fontId="8" fillId="0" borderId="0" xfId="0" applyNumberFormat="1" applyFont="1" applyAlignment="1">
      <alignment horizontal="right"/>
    </xf>
    <xf numFmtId="0" fontId="16" fillId="0" borderId="0" xfId="0" applyFont="1"/>
    <xf numFmtId="0" fontId="10" fillId="0" borderId="0" xfId="0" applyFont="1"/>
    <xf numFmtId="0" fontId="8" fillId="0" borderId="0" xfId="0" applyFont="1" applyAlignment="1">
      <alignment horizontal="left" wrapText="1"/>
    </xf>
    <xf numFmtId="167" fontId="10" fillId="0" borderId="0" xfId="0" applyNumberFormat="1" applyFont="1"/>
    <xf numFmtId="4" fontId="10" fillId="0" borderId="0" xfId="0" applyNumberFormat="1" applyFont="1"/>
    <xf numFmtId="49" fontId="1" fillId="0" borderId="7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/>
    </xf>
    <xf numFmtId="49" fontId="1" fillId="0" borderId="10" xfId="0" applyNumberFormat="1" applyFont="1" applyBorder="1" applyAlignment="1">
      <alignment horizontal="center" vertical="center" wrapText="1"/>
    </xf>
    <xf numFmtId="4" fontId="0" fillId="0" borderId="21" xfId="0" applyNumberForma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 indent="2"/>
    </xf>
    <xf numFmtId="49" fontId="14" fillId="3" borderId="7" xfId="0" applyNumberFormat="1" applyFont="1" applyFill="1" applyBorder="1" applyAlignment="1">
      <alignment horizontal="center" vertical="center" wrapText="1"/>
    </xf>
    <xf numFmtId="4" fontId="14" fillId="3" borderId="9" xfId="0" applyNumberFormat="1" applyFont="1" applyFill="1" applyBorder="1" applyAlignment="1">
      <alignment horizontal="center" vertical="center" wrapText="1"/>
    </xf>
    <xf numFmtId="49" fontId="14" fillId="0" borderId="12" xfId="0" applyNumberFormat="1" applyFont="1" applyFill="1" applyBorder="1" applyAlignment="1">
      <alignment horizontal="center" vertical="center" wrapText="1"/>
    </xf>
    <xf numFmtId="4" fontId="14" fillId="0" borderId="14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" fontId="15" fillId="0" borderId="9" xfId="0" applyNumberFormat="1" applyFont="1" applyFill="1" applyBorder="1" applyAlignment="1">
      <alignment horizontal="center" vertical="center" wrapText="1"/>
    </xf>
    <xf numFmtId="4" fontId="15" fillId="0" borderId="14" xfId="0" applyNumberFormat="1" applyFont="1" applyFill="1" applyBorder="1" applyAlignment="1">
      <alignment horizontal="center" vertical="center" wrapText="1"/>
    </xf>
    <xf numFmtId="49" fontId="14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 indent="2"/>
    </xf>
    <xf numFmtId="4" fontId="15" fillId="0" borderId="0" xfId="0" applyNumberFormat="1" applyFont="1" applyFill="1" applyBorder="1" applyAlignment="1">
      <alignment horizontal="center" vertical="center" wrapText="1"/>
    </xf>
    <xf numFmtId="4" fontId="15" fillId="0" borderId="2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left" vertical="center" wrapText="1" indent="2"/>
    </xf>
    <xf numFmtId="4" fontId="14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9" fillId="0" borderId="0" xfId="0" applyFont="1"/>
    <xf numFmtId="0" fontId="4" fillId="0" borderId="1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9" fillId="0" borderId="16" xfId="0" applyFont="1" applyBorder="1" applyAlignment="1">
      <alignment horizontal="center"/>
    </xf>
    <xf numFmtId="0" fontId="3" fillId="0" borderId="1" xfId="0" applyFont="1" applyBorder="1" applyAlignment="1">
      <alignment horizontal="right"/>
    </xf>
    <xf numFmtId="0" fontId="8" fillId="0" borderId="0" xfId="0" applyFont="1" applyAlignment="1">
      <alignment horizontal="left" wrapText="1"/>
    </xf>
    <xf numFmtId="164" fontId="8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/>
    </xf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11" fillId="0" borderId="0" xfId="0" applyFont="1" applyAlignment="1">
      <alignment horizontal="left"/>
    </xf>
    <xf numFmtId="0" fontId="1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left" vertical="center" wrapText="1"/>
    </xf>
    <xf numFmtId="0" fontId="0" fillId="0" borderId="17" xfId="0" applyFill="1" applyBorder="1" applyAlignment="1">
      <alignment horizontal="left" vertical="center" wrapText="1"/>
    </xf>
    <xf numFmtId="0" fontId="14" fillId="3" borderId="18" xfId="0" applyFont="1" applyFill="1" applyBorder="1" applyAlignment="1">
      <alignment horizontal="center" vertical="center" wrapText="1"/>
    </xf>
    <xf numFmtId="0" fontId="14" fillId="3" borderId="19" xfId="0" applyFont="1" applyFill="1" applyBorder="1" applyAlignment="1">
      <alignment horizontal="center" vertical="center" wrapText="1"/>
    </xf>
    <xf numFmtId="0" fontId="14" fillId="3" borderId="2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1"/>
  <sheetViews>
    <sheetView tabSelected="1" view="pageBreakPreview" topLeftCell="A34" zoomScaleNormal="85" zoomScaleSheetLayoutView="100" workbookViewId="0">
      <selection activeCell="D35" sqref="C35:K40"/>
    </sheetView>
  </sheetViews>
  <sheetFormatPr defaultRowHeight="12.75" x14ac:dyDescent="0.2"/>
  <cols>
    <col min="1" max="1" width="5.7109375" customWidth="1"/>
    <col min="2" max="2" width="21.42578125" customWidth="1"/>
    <col min="3" max="3" width="38" customWidth="1"/>
    <col min="4" max="7" width="11.7109375" customWidth="1"/>
    <col min="8" max="8" width="10.7109375" customWidth="1"/>
    <col min="9" max="9" width="10.42578125" customWidth="1"/>
    <col min="10" max="10" width="12.7109375" customWidth="1"/>
    <col min="11" max="11" width="16.28515625" customWidth="1"/>
    <col min="12" max="12" width="20.42578125" customWidth="1"/>
    <col min="15" max="30" width="0" hidden="1" customWidth="1"/>
    <col min="31" max="31" width="150.7109375" hidden="1" customWidth="1"/>
    <col min="32" max="32" width="104.7109375" hidden="1" customWidth="1"/>
    <col min="33" max="33" width="0" hidden="1" customWidth="1"/>
    <col min="34" max="34" width="110.7109375" hidden="1" customWidth="1"/>
    <col min="35" max="36" width="0" hidden="1" customWidth="1"/>
  </cols>
  <sheetData>
    <row r="1" spans="1:34" x14ac:dyDescent="0.2">
      <c r="A1" s="1" t="s">
        <v>72</v>
      </c>
    </row>
    <row r="2" spans="1:34" ht="14.25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 t="s">
        <v>17</v>
      </c>
    </row>
    <row r="3" spans="1:34" ht="59.25" customHeight="1" x14ac:dyDescent="0.2">
      <c r="A3" s="80" t="str">
        <f>Аналог!A1:C1</f>
        <v>Реконструкция ЦТП в помещении бывшей МК № 01-01-009 для подключения к системам теплоснабжения ПАО "МОЭК" объекта капитального строительства "административного здания",  расположенного по адресу: г. Москва, ул. Воронцовская, д.1/3, стр.2, 2А</v>
      </c>
      <c r="B3" s="80"/>
      <c r="C3" s="80"/>
      <c r="D3" s="80"/>
      <c r="E3" s="80"/>
      <c r="F3" s="80"/>
      <c r="G3" s="80"/>
      <c r="H3" s="80"/>
      <c r="I3" s="80"/>
      <c r="J3" s="80"/>
      <c r="K3" s="80"/>
    </row>
    <row r="4" spans="1:34" x14ac:dyDescent="0.2">
      <c r="A4" s="81" t="s">
        <v>1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34" ht="14.25" x14ac:dyDescent="0.2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34" ht="15.75" x14ac:dyDescent="0.25">
      <c r="A6" s="82" t="s">
        <v>86</v>
      </c>
      <c r="B6" s="83"/>
      <c r="C6" s="83"/>
      <c r="D6" s="83"/>
      <c r="E6" s="83"/>
      <c r="F6" s="83"/>
      <c r="G6" s="83"/>
      <c r="H6" s="83"/>
      <c r="I6" s="83"/>
      <c r="J6" s="83"/>
      <c r="K6" s="83"/>
      <c r="AE6" s="3" t="e">
        <f>CONCATENATE( "ЛОКАЛЬНАЯ СМЕТА № ",IF(#REF!&lt;&gt;"Новая локальная смета",#REF!, ""))</f>
        <v>#REF!</v>
      </c>
    </row>
    <row r="7" spans="1:34" x14ac:dyDescent="0.2">
      <c r="A7" s="84" t="s">
        <v>2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34" ht="14.25" x14ac:dyDescent="0.2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34" ht="14.25" x14ac:dyDescent="0.2">
      <c r="A9" s="89" t="s">
        <v>21</v>
      </c>
      <c r="B9" s="89"/>
      <c r="C9" s="89"/>
      <c r="D9" s="89"/>
      <c r="E9" s="89"/>
      <c r="F9" s="89"/>
      <c r="G9" s="89"/>
      <c r="H9" s="89"/>
      <c r="I9" s="89"/>
      <c r="J9" s="89"/>
      <c r="K9" s="89"/>
      <c r="AE9" s="4" t="e">
        <f xml:space="preserve"> CONCATENATE( "Основание: чертежи № ",#REF!)</f>
        <v>#REF!</v>
      </c>
    </row>
    <row r="10" spans="1:34" ht="28.5" x14ac:dyDescent="0.2">
      <c r="A10" s="2"/>
      <c r="B10" s="2"/>
      <c r="C10" s="2"/>
      <c r="D10" s="2"/>
      <c r="E10" s="2"/>
      <c r="F10" s="2"/>
      <c r="G10" s="2"/>
      <c r="H10" s="2"/>
      <c r="I10" s="5"/>
      <c r="J10" s="5" t="s">
        <v>3</v>
      </c>
      <c r="K10" s="2"/>
    </row>
    <row r="11" spans="1:34" ht="14.25" x14ac:dyDescent="0.2">
      <c r="A11" s="2"/>
      <c r="B11" s="2"/>
      <c r="C11" s="2"/>
      <c r="D11" s="2"/>
      <c r="E11" s="2"/>
      <c r="F11" s="91" t="s">
        <v>4</v>
      </c>
      <c r="G11" s="91"/>
      <c r="H11" s="91"/>
      <c r="I11" s="6"/>
      <c r="J11" s="6">
        <f>J33/1000</f>
        <v>7540.3000910000001</v>
      </c>
      <c r="K11" s="2" t="s">
        <v>5</v>
      </c>
    </row>
    <row r="12" spans="1:34" ht="14.25" x14ac:dyDescent="0.2">
      <c r="A12" s="2" t="s">
        <v>77</v>
      </c>
      <c r="B12" s="2"/>
      <c r="C12" s="2"/>
      <c r="D12" s="7"/>
      <c r="E12" s="8"/>
      <c r="F12" s="2"/>
      <c r="G12" s="2"/>
      <c r="H12" s="2"/>
      <c r="I12" s="2"/>
      <c r="J12" s="2"/>
      <c r="K12" s="2"/>
    </row>
    <row r="13" spans="1:34" ht="57" x14ac:dyDescent="0.2">
      <c r="A13" s="9" t="s">
        <v>6</v>
      </c>
      <c r="B13" s="9" t="s">
        <v>7</v>
      </c>
      <c r="C13" s="9" t="s">
        <v>8</v>
      </c>
      <c r="D13" s="9" t="s">
        <v>9</v>
      </c>
      <c r="E13" s="9" t="s">
        <v>10</v>
      </c>
      <c r="F13" s="9" t="s">
        <v>11</v>
      </c>
      <c r="G13" s="10" t="s">
        <v>12</v>
      </c>
      <c r="H13" s="10" t="s">
        <v>13</v>
      </c>
      <c r="I13" s="9" t="s">
        <v>14</v>
      </c>
      <c r="J13" s="9" t="s">
        <v>15</v>
      </c>
      <c r="K13" s="9" t="s">
        <v>16</v>
      </c>
    </row>
    <row r="14" spans="1:34" ht="14.25" x14ac:dyDescent="0.2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</row>
    <row r="16" spans="1:34" ht="14.25" x14ac:dyDescent="0.2">
      <c r="C16" s="4"/>
      <c r="D16" s="4"/>
      <c r="E16" s="4"/>
      <c r="F16" s="4"/>
      <c r="G16" s="4"/>
      <c r="H16" s="4"/>
      <c r="I16" s="4"/>
      <c r="J16" s="11"/>
      <c r="K16" s="11"/>
      <c r="AH16" s="4"/>
    </row>
    <row r="17" spans="1:34" ht="16.5" customHeight="1" x14ac:dyDescent="0.25">
      <c r="A17" s="92" t="s">
        <v>27</v>
      </c>
      <c r="B17" s="92"/>
      <c r="C17" s="92"/>
      <c r="D17" s="92"/>
      <c r="E17" s="92"/>
      <c r="F17" s="92"/>
      <c r="G17" s="92"/>
      <c r="H17" s="92"/>
      <c r="I17" s="92"/>
      <c r="J17" s="92"/>
      <c r="K17" s="92"/>
      <c r="L17" s="20"/>
      <c r="AH17" s="4"/>
    </row>
    <row r="18" spans="1:34" ht="63" customHeight="1" x14ac:dyDescent="0.2">
      <c r="A18" s="12">
        <v>1</v>
      </c>
      <c r="B18" s="13" t="s">
        <v>82</v>
      </c>
      <c r="C18" s="13" t="str">
        <f>Аналог!A4</f>
        <v>Реконструкция ЦТП в помещении бывшей МК № 01-01-009
(Qmax=2,93 Гкал/час)</v>
      </c>
      <c r="D18" s="14" t="s">
        <v>20</v>
      </c>
      <c r="E18" s="15">
        <v>1</v>
      </c>
      <c r="F18" s="16"/>
      <c r="G18" s="18"/>
      <c r="H18" s="15"/>
      <c r="I18" s="17"/>
      <c r="J18" s="15"/>
      <c r="K18" s="17">
        <f>J19</f>
        <v>6735890</v>
      </c>
      <c r="L18" s="20"/>
      <c r="AH18" s="4"/>
    </row>
    <row r="19" spans="1:34" ht="15" x14ac:dyDescent="0.25">
      <c r="H19" s="88"/>
      <c r="I19" s="88"/>
      <c r="J19" s="88">
        <f>Аналог!C44</f>
        <v>6735890</v>
      </c>
      <c r="K19" s="88"/>
      <c r="L19" s="20"/>
      <c r="AH19" s="4"/>
    </row>
    <row r="20" spans="1:34" ht="15" x14ac:dyDescent="0.25">
      <c r="H20" s="52"/>
      <c r="I20" s="52"/>
      <c r="J20" s="52"/>
      <c r="K20" s="52"/>
      <c r="L20" s="20"/>
      <c r="AH20" s="4"/>
    </row>
    <row r="21" spans="1:34" ht="15" x14ac:dyDescent="0.25">
      <c r="C21" s="54" t="s">
        <v>78</v>
      </c>
      <c r="H21" s="52"/>
      <c r="I21" s="52"/>
      <c r="J21" s="88">
        <f>ROUND(J19*Аналог!C51,2)</f>
        <v>7241081.75</v>
      </c>
      <c r="K21" s="88"/>
      <c r="L21" s="20"/>
      <c r="AH21" s="4"/>
    </row>
    <row r="22" spans="1:34" ht="15" x14ac:dyDescent="0.25">
      <c r="H22" s="52"/>
      <c r="I22" s="52"/>
      <c r="J22" s="52"/>
      <c r="K22" s="52"/>
      <c r="L22" s="20"/>
      <c r="AH22" s="4"/>
    </row>
    <row r="23" spans="1:34" ht="15" x14ac:dyDescent="0.25">
      <c r="C23" s="21" t="s">
        <v>22</v>
      </c>
      <c r="D23" s="4"/>
      <c r="E23" s="4"/>
      <c r="F23" s="4"/>
      <c r="G23" s="4"/>
      <c r="H23" s="4"/>
      <c r="I23" s="4"/>
      <c r="J23" s="88">
        <f>J21</f>
        <v>7241081.75</v>
      </c>
      <c r="K23" s="88"/>
      <c r="L23" s="20"/>
      <c r="AH23" s="4"/>
    </row>
    <row r="24" spans="1:34" ht="14.25" x14ac:dyDescent="0.2">
      <c r="C24" s="4"/>
      <c r="D24" s="4"/>
      <c r="E24" s="4"/>
      <c r="F24" s="4"/>
      <c r="G24" s="4"/>
      <c r="H24" s="4"/>
      <c r="I24" s="4"/>
      <c r="J24" s="11"/>
      <c r="K24" s="11"/>
      <c r="L24" s="20"/>
      <c r="AH24" s="4"/>
    </row>
    <row r="25" spans="1:34" ht="14.25" x14ac:dyDescent="0.2">
      <c r="C25" s="4" t="s">
        <v>23</v>
      </c>
      <c r="D25" s="4"/>
      <c r="E25" s="4"/>
      <c r="F25" s="4"/>
      <c r="G25" s="4"/>
      <c r="H25" s="4"/>
      <c r="I25" s="4"/>
      <c r="J25" s="11"/>
      <c r="K25" s="11">
        <f>Аналог!C55</f>
        <v>4810904.5</v>
      </c>
      <c r="L25" s="20"/>
      <c r="AH25" s="4"/>
    </row>
    <row r="26" spans="1:34" ht="14.25" x14ac:dyDescent="0.2">
      <c r="C26" s="4" t="s">
        <v>24</v>
      </c>
      <c r="D26" s="4"/>
      <c r="E26" s="4"/>
      <c r="F26" s="4"/>
      <c r="G26" s="4"/>
      <c r="H26" s="4"/>
      <c r="I26" s="4"/>
      <c r="J26" s="11"/>
      <c r="K26" s="11">
        <f>Аналог!C56</f>
        <v>874663</v>
      </c>
      <c r="L26" s="20"/>
      <c r="AH26" s="4"/>
    </row>
    <row r="27" spans="1:34" ht="14.25" x14ac:dyDescent="0.2">
      <c r="C27" s="4" t="s">
        <v>26</v>
      </c>
      <c r="D27" s="4"/>
      <c r="E27" s="4"/>
      <c r="F27" s="4"/>
      <c r="G27" s="4"/>
      <c r="H27" s="4"/>
      <c r="I27" s="4"/>
      <c r="J27" s="11"/>
      <c r="K27" s="11">
        <f>Аналог!C57</f>
        <v>1555202.5</v>
      </c>
      <c r="L27" s="20"/>
      <c r="AH27" s="4"/>
    </row>
    <row r="28" spans="1:34" ht="14.25" x14ac:dyDescent="0.2">
      <c r="C28" s="4" t="s">
        <v>25</v>
      </c>
      <c r="D28" s="4"/>
      <c r="E28" s="4"/>
      <c r="F28" s="4"/>
      <c r="G28" s="4"/>
      <c r="H28" s="4"/>
      <c r="I28" s="4"/>
      <c r="J28" s="11"/>
      <c r="K28" s="11">
        <f>Аналог!C58</f>
        <v>311.75</v>
      </c>
      <c r="L28" s="20"/>
      <c r="AH28" s="4"/>
    </row>
    <row r="29" spans="1:34" ht="14.25" x14ac:dyDescent="0.2">
      <c r="C29" s="4"/>
      <c r="D29" s="4"/>
      <c r="E29" s="4"/>
      <c r="F29" s="4"/>
      <c r="G29" s="4"/>
      <c r="H29" s="4"/>
      <c r="I29" s="4"/>
      <c r="J29" s="11"/>
      <c r="K29" s="11"/>
      <c r="L29" s="22"/>
      <c r="AH29" s="4"/>
    </row>
    <row r="30" spans="1:34" ht="14.25" x14ac:dyDescent="0.2">
      <c r="C30" s="89" t="str">
        <f>Аналог!B59</f>
        <v>Временные здания и сооружения 1,4% от СМР</v>
      </c>
      <c r="D30" s="89"/>
      <c r="E30" s="89"/>
      <c r="F30" s="89"/>
      <c r="G30" s="89"/>
      <c r="H30" s="89"/>
      <c r="I30" s="89"/>
      <c r="J30" s="90">
        <f>ROUND((K25+K26)*1.4%,2)</f>
        <v>79597.95</v>
      </c>
      <c r="K30" s="90"/>
      <c r="AH30" s="4" t="e">
        <f>#REF!</f>
        <v>#REF!</v>
      </c>
    </row>
    <row r="31" spans="1:34" ht="15" x14ac:dyDescent="0.25">
      <c r="C31" s="87" t="str">
        <f>Аналог!B60</f>
        <v>Итого с ВЗиС</v>
      </c>
      <c r="D31" s="87"/>
      <c r="E31" s="87"/>
      <c r="F31" s="87"/>
      <c r="G31" s="87"/>
      <c r="H31" s="87"/>
      <c r="I31" s="87"/>
      <c r="J31" s="88">
        <f>J23+J30</f>
        <v>7320679.7000000002</v>
      </c>
      <c r="K31" s="88"/>
      <c r="AH31" s="4" t="e">
        <f>#REF!</f>
        <v>#REF!</v>
      </c>
    </row>
    <row r="32" spans="1:34" ht="14.25" x14ac:dyDescent="0.2">
      <c r="C32" s="89" t="str">
        <f>Аналог!B61</f>
        <v>Непредвиденные -3%</v>
      </c>
      <c r="D32" s="89"/>
      <c r="E32" s="89"/>
      <c r="F32" s="89"/>
      <c r="G32" s="89"/>
      <c r="H32" s="89"/>
      <c r="I32" s="89"/>
      <c r="J32" s="90">
        <f>J31*0.03</f>
        <v>219620.391</v>
      </c>
      <c r="K32" s="90"/>
      <c r="AH32" s="4" t="e">
        <f>#REF!</f>
        <v>#REF!</v>
      </c>
    </row>
    <row r="33" spans="1:34" s="54" customFormat="1" ht="15" x14ac:dyDescent="0.25">
      <c r="C33" s="87" t="str">
        <f>Аналог!B62</f>
        <v>ВСЕГО</v>
      </c>
      <c r="D33" s="87"/>
      <c r="E33" s="87"/>
      <c r="F33" s="87"/>
      <c r="G33" s="87"/>
      <c r="H33" s="87"/>
      <c r="I33" s="87"/>
      <c r="J33" s="88">
        <f>SUM(J31:J32)</f>
        <v>7540300.091</v>
      </c>
      <c r="K33" s="88"/>
      <c r="L33" s="56">
        <f>Аналог!C62</f>
        <v>7540300.0899999999</v>
      </c>
      <c r="AH33" s="55" t="e">
        <f>#REF!</f>
        <v>#REF!</v>
      </c>
    </row>
    <row r="34" spans="1:34" ht="60" customHeight="1" x14ac:dyDescent="0.2"/>
    <row r="35" spans="1:34" ht="14.25" x14ac:dyDescent="0.2">
      <c r="A35" s="78" t="s">
        <v>18</v>
      </c>
      <c r="B35" s="78"/>
      <c r="C35" s="19"/>
      <c r="D35" s="19"/>
      <c r="E35" s="19"/>
      <c r="F35" s="19"/>
      <c r="G35" s="19"/>
      <c r="H35" s="86"/>
      <c r="I35" s="86"/>
      <c r="J35" s="2"/>
      <c r="K35" s="2"/>
      <c r="L35" s="51"/>
      <c r="M35" s="51"/>
      <c r="N35" s="51"/>
    </row>
    <row r="36" spans="1:34" ht="14.25" x14ac:dyDescent="0.2">
      <c r="A36" s="51"/>
      <c r="B36" s="2"/>
      <c r="C36" s="85"/>
      <c r="D36" s="85"/>
      <c r="E36" s="85"/>
      <c r="F36" s="85"/>
      <c r="G36" s="85"/>
      <c r="H36" s="85"/>
      <c r="I36" s="85"/>
      <c r="J36" s="79"/>
      <c r="K36" s="2"/>
      <c r="L36" s="51"/>
      <c r="M36" s="51"/>
      <c r="N36" s="51"/>
    </row>
    <row r="37" spans="1:34" ht="14.25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51"/>
      <c r="M37" s="51"/>
      <c r="N37" s="51"/>
    </row>
    <row r="38" spans="1:34" ht="33" customHeight="1" x14ac:dyDescent="0.2">
      <c r="A38" s="78" t="s">
        <v>19</v>
      </c>
      <c r="B38" s="78"/>
      <c r="C38" s="19"/>
      <c r="D38" s="19"/>
      <c r="E38" s="19"/>
      <c r="F38" s="19"/>
      <c r="G38" s="19"/>
      <c r="H38" s="86"/>
      <c r="I38" s="86"/>
      <c r="J38" s="2"/>
      <c r="K38" s="2"/>
      <c r="L38" s="51"/>
      <c r="M38" s="51"/>
      <c r="N38" s="51"/>
    </row>
    <row r="39" spans="1:34" ht="14.25" x14ac:dyDescent="0.2">
      <c r="A39" s="51"/>
      <c r="B39" s="2"/>
      <c r="C39" s="85"/>
      <c r="D39" s="85"/>
      <c r="E39" s="85"/>
      <c r="F39" s="85"/>
      <c r="G39" s="85"/>
      <c r="H39" s="85"/>
      <c r="I39" s="85"/>
      <c r="J39" s="79"/>
      <c r="K39" s="2"/>
      <c r="L39" s="51"/>
      <c r="M39" s="51"/>
      <c r="N39" s="51"/>
    </row>
    <row r="40" spans="1:34" x14ac:dyDescent="0.2">
      <c r="A40" s="53"/>
      <c r="B40" s="53"/>
      <c r="C40" s="53"/>
      <c r="D40" s="53"/>
      <c r="E40" s="53"/>
      <c r="F40" s="53"/>
      <c r="G40" s="53"/>
      <c r="H40" s="53"/>
      <c r="I40" s="53"/>
    </row>
    <row r="41" spans="1:34" x14ac:dyDescent="0.2">
      <c r="A41" s="53"/>
      <c r="B41" s="53"/>
      <c r="C41" s="53"/>
      <c r="D41" s="53"/>
      <c r="E41" s="53"/>
      <c r="F41" s="53"/>
      <c r="G41" s="53"/>
      <c r="H41" s="53"/>
      <c r="I41" s="53"/>
    </row>
  </sheetData>
  <mergeCells count="23">
    <mergeCell ref="F11:H11"/>
    <mergeCell ref="J30:K30"/>
    <mergeCell ref="A17:K17"/>
    <mergeCell ref="H19:I19"/>
    <mergeCell ref="J19:K19"/>
    <mergeCell ref="J21:K21"/>
    <mergeCell ref="J23:K23"/>
    <mergeCell ref="A3:K3"/>
    <mergeCell ref="A4:K4"/>
    <mergeCell ref="A6:K6"/>
    <mergeCell ref="A7:K7"/>
    <mergeCell ref="C39:I39"/>
    <mergeCell ref="H38:I38"/>
    <mergeCell ref="C31:I31"/>
    <mergeCell ref="J31:K31"/>
    <mergeCell ref="C36:I36"/>
    <mergeCell ref="C33:I33"/>
    <mergeCell ref="C32:I32"/>
    <mergeCell ref="J32:K32"/>
    <mergeCell ref="J33:K33"/>
    <mergeCell ref="H35:I35"/>
    <mergeCell ref="C30:I30"/>
    <mergeCell ref="A9:K9"/>
  </mergeCells>
  <pageMargins left="0.4" right="0.2" top="0.2" bottom="0.4" header="0.2" footer="0.2"/>
  <pageSetup paperSize="9" scale="60" orientation="portrait" horizontalDpi="300" verticalDpi="300" r:id="rId1"/>
  <headerFooter>
    <oddHeader>&amp;L&amp;8</oddHead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0"/>
  <sheetViews>
    <sheetView view="pageBreakPreview" topLeftCell="A55" zoomScaleNormal="100" zoomScaleSheetLayoutView="100" workbookViewId="0">
      <selection activeCell="C72" sqref="C72"/>
    </sheetView>
  </sheetViews>
  <sheetFormatPr defaultRowHeight="12.75" x14ac:dyDescent="0.2"/>
  <cols>
    <col min="2" max="2" width="58.42578125" customWidth="1"/>
    <col min="3" max="3" width="30.5703125" customWidth="1"/>
    <col min="4" max="4" width="29.140625" customWidth="1"/>
    <col min="5" max="5" width="40.85546875" customWidth="1"/>
    <col min="6" max="6" width="23.5703125" customWidth="1"/>
    <col min="7" max="7" width="36.42578125" customWidth="1"/>
  </cols>
  <sheetData>
    <row r="1" spans="1:5" ht="50.25" customHeight="1" x14ac:dyDescent="0.2">
      <c r="A1" s="101" t="s">
        <v>79</v>
      </c>
      <c r="B1" s="101"/>
      <c r="C1" s="101"/>
    </row>
    <row r="2" spans="1:5" ht="52.5" customHeight="1" x14ac:dyDescent="0.2">
      <c r="A2" s="94" t="s">
        <v>80</v>
      </c>
      <c r="B2" s="95"/>
      <c r="C2" s="95"/>
      <c r="D2" s="59"/>
    </row>
    <row r="3" spans="1:5" ht="13.5" thickBot="1" x14ac:dyDescent="0.25">
      <c r="A3" s="96"/>
      <c r="B3" s="97"/>
      <c r="C3" s="97"/>
    </row>
    <row r="4" spans="1:5" ht="32.25" customHeight="1" thickBot="1" x14ac:dyDescent="0.25">
      <c r="A4" s="98" t="s">
        <v>81</v>
      </c>
      <c r="B4" s="99"/>
      <c r="C4" s="100"/>
    </row>
    <row r="5" spans="1:5" ht="26.25" customHeight="1" thickBot="1" x14ac:dyDescent="0.25">
      <c r="A5" s="23" t="s">
        <v>28</v>
      </c>
      <c r="B5" s="24" t="s">
        <v>29</v>
      </c>
      <c r="C5" s="25" t="s">
        <v>30</v>
      </c>
    </row>
    <row r="6" spans="1:5" ht="21" customHeight="1" thickBot="1" x14ac:dyDescent="0.25">
      <c r="A6" s="26">
        <v>1</v>
      </c>
      <c r="B6" s="27" t="s">
        <v>66</v>
      </c>
      <c r="C6" s="28">
        <f>SUM(C7:C10)</f>
        <v>6469370</v>
      </c>
      <c r="E6" s="57"/>
    </row>
    <row r="7" spans="1:5" ht="21" customHeight="1" x14ac:dyDescent="0.2">
      <c r="A7" s="29" t="s">
        <v>31</v>
      </c>
      <c r="B7" s="30" t="s">
        <v>0</v>
      </c>
      <c r="C7" s="31">
        <f>4460720</f>
        <v>4460720</v>
      </c>
      <c r="E7" s="44"/>
    </row>
    <row r="8" spans="1:5" ht="21" customHeight="1" x14ac:dyDescent="0.2">
      <c r="A8" s="32" t="s">
        <v>32</v>
      </c>
      <c r="B8" s="33" t="s">
        <v>33</v>
      </c>
      <c r="C8" s="34">
        <f>734380</f>
        <v>734380</v>
      </c>
      <c r="E8" s="44"/>
    </row>
    <row r="9" spans="1:5" ht="21" customHeight="1" x14ac:dyDescent="0.2">
      <c r="A9" s="32" t="s">
        <v>34</v>
      </c>
      <c r="B9" s="33" t="s">
        <v>35</v>
      </c>
      <c r="C9" s="34">
        <f>1273980</f>
        <v>1273980</v>
      </c>
      <c r="E9" s="44"/>
    </row>
    <row r="10" spans="1:5" ht="21" customHeight="1" thickBot="1" x14ac:dyDescent="0.25">
      <c r="A10" s="35" t="s">
        <v>36</v>
      </c>
      <c r="B10" s="36" t="s">
        <v>37</v>
      </c>
      <c r="C10" s="37">
        <f>290</f>
        <v>290</v>
      </c>
      <c r="E10" s="44"/>
    </row>
    <row r="11" spans="1:5" ht="18" customHeight="1" thickBot="1" x14ac:dyDescent="0.25">
      <c r="A11" s="26">
        <v>2</v>
      </c>
      <c r="B11" s="27" t="s">
        <v>67</v>
      </c>
      <c r="C11" s="28">
        <f>SUM(C12:C15)</f>
        <v>0</v>
      </c>
      <c r="E11" s="57"/>
    </row>
    <row r="12" spans="1:5" ht="21" customHeight="1" x14ac:dyDescent="0.2">
      <c r="A12" s="29" t="s">
        <v>38</v>
      </c>
      <c r="B12" s="30" t="s">
        <v>0</v>
      </c>
      <c r="C12" s="31">
        <v>0</v>
      </c>
      <c r="E12" s="44"/>
    </row>
    <row r="13" spans="1:5" ht="21" customHeight="1" x14ac:dyDescent="0.2">
      <c r="A13" s="29" t="s">
        <v>39</v>
      </c>
      <c r="B13" s="30" t="s">
        <v>33</v>
      </c>
      <c r="C13" s="31">
        <v>0</v>
      </c>
      <c r="E13" s="44"/>
    </row>
    <row r="14" spans="1:5" ht="21" customHeight="1" x14ac:dyDescent="0.2">
      <c r="A14" s="29" t="s">
        <v>73</v>
      </c>
      <c r="B14" s="33" t="s">
        <v>35</v>
      </c>
      <c r="C14" s="34">
        <v>0</v>
      </c>
      <c r="E14" s="44"/>
    </row>
    <row r="15" spans="1:5" ht="21" customHeight="1" thickBot="1" x14ac:dyDescent="0.25">
      <c r="A15" s="29" t="s">
        <v>74</v>
      </c>
      <c r="B15" s="38" t="s">
        <v>37</v>
      </c>
      <c r="C15" s="62">
        <v>0</v>
      </c>
      <c r="E15" s="44"/>
    </row>
    <row r="16" spans="1:5" ht="21" customHeight="1" thickBot="1" x14ac:dyDescent="0.25">
      <c r="A16" s="26">
        <v>3</v>
      </c>
      <c r="B16" s="27" t="s">
        <v>68</v>
      </c>
      <c r="C16" s="28">
        <f>SUM(C17:C20)</f>
        <v>0</v>
      </c>
      <c r="E16" s="57"/>
    </row>
    <row r="17" spans="1:5" ht="21" customHeight="1" x14ac:dyDescent="0.2">
      <c r="A17" s="61" t="s">
        <v>40</v>
      </c>
      <c r="B17" s="30" t="s">
        <v>0</v>
      </c>
      <c r="C17" s="34">
        <v>0</v>
      </c>
      <c r="E17" s="44"/>
    </row>
    <row r="18" spans="1:5" ht="21" customHeight="1" x14ac:dyDescent="0.2">
      <c r="A18" s="61" t="s">
        <v>41</v>
      </c>
      <c r="B18" s="33" t="s">
        <v>33</v>
      </c>
      <c r="C18" s="34">
        <v>0</v>
      </c>
      <c r="E18" s="44"/>
    </row>
    <row r="19" spans="1:5" ht="21" customHeight="1" x14ac:dyDescent="0.2">
      <c r="A19" s="61" t="s">
        <v>42</v>
      </c>
      <c r="B19" s="33" t="s">
        <v>35</v>
      </c>
      <c r="C19" s="34">
        <v>0</v>
      </c>
      <c r="E19" s="44"/>
    </row>
    <row r="20" spans="1:5" ht="21" customHeight="1" thickBot="1" x14ac:dyDescent="0.25">
      <c r="A20" s="61" t="s">
        <v>43</v>
      </c>
      <c r="B20" s="38" t="s">
        <v>37</v>
      </c>
      <c r="C20" s="34">
        <v>0</v>
      </c>
      <c r="E20" s="44"/>
    </row>
    <row r="21" spans="1:5" ht="15.75" thickBot="1" x14ac:dyDescent="0.25">
      <c r="A21" s="26">
        <v>4</v>
      </c>
      <c r="B21" s="27" t="s">
        <v>69</v>
      </c>
      <c r="C21" s="28">
        <f>SUM(C22:C25)</f>
        <v>0</v>
      </c>
      <c r="E21" s="57"/>
    </row>
    <row r="22" spans="1:5" ht="21" customHeight="1" x14ac:dyDescent="0.2">
      <c r="A22" s="29" t="s">
        <v>44</v>
      </c>
      <c r="B22" s="30" t="s">
        <v>0</v>
      </c>
      <c r="C22" s="31">
        <v>0</v>
      </c>
      <c r="E22" s="44"/>
    </row>
    <row r="23" spans="1:5" ht="21" customHeight="1" x14ac:dyDescent="0.2">
      <c r="A23" s="29" t="s">
        <v>45</v>
      </c>
      <c r="B23" s="33" t="s">
        <v>33</v>
      </c>
      <c r="C23" s="31">
        <v>0</v>
      </c>
      <c r="E23" s="44"/>
    </row>
    <row r="24" spans="1:5" ht="21" customHeight="1" x14ac:dyDescent="0.2">
      <c r="A24" s="29" t="s">
        <v>75</v>
      </c>
      <c r="B24" s="33" t="s">
        <v>35</v>
      </c>
      <c r="C24" s="34">
        <v>0</v>
      </c>
      <c r="E24" s="44"/>
    </row>
    <row r="25" spans="1:5" ht="20.25" customHeight="1" thickBot="1" x14ac:dyDescent="0.25">
      <c r="A25" s="29" t="s">
        <v>76</v>
      </c>
      <c r="B25" s="38" t="s">
        <v>37</v>
      </c>
      <c r="C25" s="34">
        <v>0</v>
      </c>
      <c r="E25" s="44"/>
    </row>
    <row r="26" spans="1:5" ht="18.75" hidden="1" customHeight="1" thickBot="1" x14ac:dyDescent="0.25">
      <c r="A26" s="26">
        <v>5</v>
      </c>
      <c r="B26" s="27" t="s">
        <v>46</v>
      </c>
      <c r="C26" s="28">
        <f>SUM(C27:C30)</f>
        <v>0</v>
      </c>
      <c r="E26" s="44"/>
    </row>
    <row r="27" spans="1:5" ht="0.75" hidden="1" customHeight="1" thickBot="1" x14ac:dyDescent="0.25">
      <c r="A27" s="29" t="s">
        <v>47</v>
      </c>
      <c r="B27" s="30" t="s">
        <v>0</v>
      </c>
      <c r="C27" s="31">
        <f>627860*D27</f>
        <v>0</v>
      </c>
      <c r="D27">
        <v>0</v>
      </c>
      <c r="E27" s="31"/>
    </row>
    <row r="28" spans="1:5" ht="16.5" hidden="1" customHeight="1" x14ac:dyDescent="0.2">
      <c r="A28" s="32" t="s">
        <v>48</v>
      </c>
      <c r="B28" s="30" t="s">
        <v>33</v>
      </c>
      <c r="C28" s="34">
        <f>43350*D27</f>
        <v>0</v>
      </c>
      <c r="E28" s="34"/>
    </row>
    <row r="29" spans="1:5" ht="0.75" hidden="1" customHeight="1" thickBot="1" x14ac:dyDescent="0.25">
      <c r="A29" s="32" t="s">
        <v>49</v>
      </c>
      <c r="B29" s="33" t="s">
        <v>35</v>
      </c>
      <c r="C29" s="34">
        <f>408820*D27</f>
        <v>0</v>
      </c>
      <c r="E29" s="34"/>
    </row>
    <row r="30" spans="1:5" ht="20.25" hidden="1" customHeight="1" thickBot="1" x14ac:dyDescent="0.25">
      <c r="A30" s="35" t="s">
        <v>50</v>
      </c>
      <c r="B30" s="36" t="s">
        <v>37</v>
      </c>
      <c r="C30" s="37">
        <f>860*D27</f>
        <v>0</v>
      </c>
      <c r="E30" s="37"/>
    </row>
    <row r="31" spans="1:5" ht="21" customHeight="1" thickBot="1" x14ac:dyDescent="0.25">
      <c r="A31" s="26">
        <f>5</f>
        <v>5</v>
      </c>
      <c r="B31" s="27" t="s">
        <v>51</v>
      </c>
      <c r="C31" s="28">
        <f>SUM(C32:C35)</f>
        <v>0</v>
      </c>
      <c r="E31" s="57"/>
    </row>
    <row r="32" spans="1:5" ht="21" customHeight="1" x14ac:dyDescent="0.2">
      <c r="A32" s="58" t="s">
        <v>47</v>
      </c>
      <c r="B32" s="30" t="s">
        <v>0</v>
      </c>
      <c r="C32" s="31">
        <v>0</v>
      </c>
      <c r="E32" s="44"/>
    </row>
    <row r="33" spans="1:5" ht="21" customHeight="1" x14ac:dyDescent="0.2">
      <c r="A33" s="58" t="s">
        <v>48</v>
      </c>
      <c r="B33" s="33" t="s">
        <v>33</v>
      </c>
      <c r="C33" s="34">
        <v>0</v>
      </c>
      <c r="E33" s="44"/>
    </row>
    <row r="34" spans="1:5" ht="21" customHeight="1" x14ac:dyDescent="0.2">
      <c r="A34" s="58" t="s">
        <v>49</v>
      </c>
      <c r="B34" s="63" t="s">
        <v>35</v>
      </c>
      <c r="C34" s="34">
        <v>0</v>
      </c>
      <c r="E34" s="44"/>
    </row>
    <row r="35" spans="1:5" ht="21" customHeight="1" thickBot="1" x14ac:dyDescent="0.25">
      <c r="A35" s="58" t="s">
        <v>50</v>
      </c>
      <c r="B35" s="38" t="s">
        <v>37</v>
      </c>
      <c r="C35" s="62">
        <v>0</v>
      </c>
      <c r="E35" s="44"/>
    </row>
    <row r="36" spans="1:5" ht="21" customHeight="1" thickBot="1" x14ac:dyDescent="0.25">
      <c r="A36" s="26">
        <f>6</f>
        <v>6</v>
      </c>
      <c r="B36" s="27" t="s">
        <v>54</v>
      </c>
      <c r="C36" s="28">
        <f>SUM(C37:C39)</f>
        <v>266520</v>
      </c>
      <c r="E36" s="57"/>
    </row>
    <row r="37" spans="1:5" ht="21" customHeight="1" x14ac:dyDescent="0.2">
      <c r="A37" s="58" t="s">
        <v>52</v>
      </c>
      <c r="B37" s="30" t="s">
        <v>0</v>
      </c>
      <c r="C37" s="31">
        <f>14540</f>
        <v>14540</v>
      </c>
      <c r="E37" s="44"/>
    </row>
    <row r="38" spans="1:5" ht="21" customHeight="1" x14ac:dyDescent="0.2">
      <c r="A38" s="58" t="s">
        <v>53</v>
      </c>
      <c r="B38" s="33" t="s">
        <v>33</v>
      </c>
      <c r="C38" s="34">
        <f>79260</f>
        <v>79260</v>
      </c>
      <c r="E38" s="44"/>
    </row>
    <row r="39" spans="1:5" ht="21" customHeight="1" thickBot="1" x14ac:dyDescent="0.25">
      <c r="A39" s="58" t="s">
        <v>70</v>
      </c>
      <c r="B39" s="36" t="s">
        <v>35</v>
      </c>
      <c r="C39" s="37">
        <f>172720</f>
        <v>172720</v>
      </c>
      <c r="E39" s="44"/>
    </row>
    <row r="40" spans="1:5" ht="21" customHeight="1" thickBot="1" x14ac:dyDescent="0.25">
      <c r="A40" s="26">
        <f>7</f>
        <v>7</v>
      </c>
      <c r="B40" s="27" t="s">
        <v>57</v>
      </c>
      <c r="C40" s="28">
        <f>SUM(C41:C42)</f>
        <v>0</v>
      </c>
      <c r="E40" s="57"/>
    </row>
    <row r="41" spans="1:5" ht="21" customHeight="1" x14ac:dyDescent="0.2">
      <c r="A41" s="58" t="s">
        <v>55</v>
      </c>
      <c r="B41" s="30" t="s">
        <v>0</v>
      </c>
      <c r="C41" s="31">
        <v>0</v>
      </c>
      <c r="E41" s="44"/>
    </row>
    <row r="42" spans="1:5" ht="21" customHeight="1" thickBot="1" x14ac:dyDescent="0.25">
      <c r="A42" s="58" t="s">
        <v>56</v>
      </c>
      <c r="B42" s="38" t="s">
        <v>37</v>
      </c>
      <c r="C42" s="37">
        <v>0</v>
      </c>
      <c r="E42" s="44"/>
    </row>
    <row r="43" spans="1:5" ht="21" customHeight="1" thickBot="1" x14ac:dyDescent="0.25">
      <c r="A43" s="26">
        <f>8</f>
        <v>8</v>
      </c>
      <c r="B43" s="27" t="s">
        <v>58</v>
      </c>
      <c r="C43" s="28">
        <f>0</f>
        <v>0</v>
      </c>
      <c r="E43" s="57"/>
    </row>
    <row r="44" spans="1:5" ht="27" customHeight="1" x14ac:dyDescent="0.2">
      <c r="A44" s="64"/>
      <c r="B44" s="39" t="s">
        <v>59</v>
      </c>
      <c r="C44" s="65">
        <f>C43+C40+C36+C31+C26+C21+C16+C11+C6</f>
        <v>6735890</v>
      </c>
      <c r="E44" s="57"/>
    </row>
    <row r="45" spans="1:5" ht="27" customHeight="1" thickBot="1" x14ac:dyDescent="0.25">
      <c r="A45" s="66"/>
      <c r="B45" s="40" t="s">
        <v>60</v>
      </c>
      <c r="C45" s="67"/>
    </row>
    <row r="46" spans="1:5" ht="27" customHeight="1" x14ac:dyDescent="0.2">
      <c r="A46" s="68"/>
      <c r="B46" s="42" t="s">
        <v>23</v>
      </c>
      <c r="C46" s="69">
        <f>C41+C37+C32+C27+C22+C17+C12+C7</f>
        <v>4475260</v>
      </c>
      <c r="D46" s="44"/>
    </row>
    <row r="47" spans="1:5" ht="27" customHeight="1" x14ac:dyDescent="0.2">
      <c r="A47" s="68"/>
      <c r="B47" s="42" t="s">
        <v>24</v>
      </c>
      <c r="C47" s="69">
        <f>C38+C33+C28+C23+C18+C13+C8</f>
        <v>813640</v>
      </c>
      <c r="D47" s="44"/>
    </row>
    <row r="48" spans="1:5" ht="27" customHeight="1" x14ac:dyDescent="0.2">
      <c r="A48" s="68"/>
      <c r="B48" s="42" t="s">
        <v>26</v>
      </c>
      <c r="C48" s="69">
        <f>C39+C34+C29+C24+C19+C14+C9</f>
        <v>1446700</v>
      </c>
      <c r="D48" s="44"/>
    </row>
    <row r="49" spans="1:4" ht="27" customHeight="1" thickBot="1" x14ac:dyDescent="0.25">
      <c r="A49" s="66"/>
      <c r="B49" s="40" t="s">
        <v>61</v>
      </c>
      <c r="C49" s="70">
        <f>C43+C42+C35+C30+C25+C20+C15+C10</f>
        <v>290</v>
      </c>
      <c r="D49" s="44"/>
    </row>
    <row r="50" spans="1:4" ht="27" customHeight="1" x14ac:dyDescent="0.2">
      <c r="A50" s="71"/>
      <c r="B50" s="72"/>
      <c r="C50" s="73"/>
      <c r="D50" s="44"/>
    </row>
    <row r="51" spans="1:4" ht="27" customHeight="1" x14ac:dyDescent="0.2">
      <c r="A51" s="102" t="s">
        <v>83</v>
      </c>
      <c r="B51" s="102"/>
      <c r="C51" s="60">
        <v>1.075</v>
      </c>
      <c r="D51" s="44"/>
    </row>
    <row r="52" spans="1:4" ht="27" customHeight="1" x14ac:dyDescent="0.2">
      <c r="A52" s="93" t="s">
        <v>71</v>
      </c>
      <c r="B52" s="93"/>
      <c r="C52" s="57">
        <f>C44*C51</f>
        <v>7241081.75</v>
      </c>
      <c r="D52" s="44"/>
    </row>
    <row r="53" spans="1:4" ht="16.5" thickBot="1" x14ac:dyDescent="0.25">
      <c r="A53" s="71"/>
      <c r="B53" s="72"/>
      <c r="C53" s="73"/>
      <c r="D53" s="44"/>
    </row>
    <row r="54" spans="1:4" ht="27" customHeight="1" thickBot="1" x14ac:dyDescent="0.25">
      <c r="A54" s="75"/>
      <c r="B54" s="76" t="s">
        <v>60</v>
      </c>
      <c r="C54" s="77"/>
      <c r="D54" s="44"/>
    </row>
    <row r="55" spans="1:4" ht="27" customHeight="1" x14ac:dyDescent="0.2">
      <c r="A55" s="68"/>
      <c r="B55" s="42" t="s">
        <v>23</v>
      </c>
      <c r="C55" s="69">
        <f>ROUND(C46*C51,2)</f>
        <v>4810904.5</v>
      </c>
      <c r="D55" s="44"/>
    </row>
    <row r="56" spans="1:4" ht="27" customHeight="1" x14ac:dyDescent="0.2">
      <c r="A56" s="68"/>
      <c r="B56" s="42" t="s">
        <v>24</v>
      </c>
      <c r="C56" s="69">
        <f>ROUND(C47*C51,2)</f>
        <v>874663</v>
      </c>
      <c r="D56" s="44"/>
    </row>
    <row r="57" spans="1:4" ht="27" customHeight="1" x14ac:dyDescent="0.2">
      <c r="A57" s="68"/>
      <c r="B57" s="42" t="s">
        <v>26</v>
      </c>
      <c r="C57" s="69">
        <f>ROUND(C48*C51,2)</f>
        <v>1555202.5</v>
      </c>
      <c r="D57" s="44"/>
    </row>
    <row r="58" spans="1:4" ht="27" customHeight="1" thickBot="1" x14ac:dyDescent="0.25">
      <c r="A58" s="66"/>
      <c r="B58" s="40" t="s">
        <v>61</v>
      </c>
      <c r="C58" s="74">
        <f>ROUND(C49*C51,2)</f>
        <v>311.75</v>
      </c>
      <c r="D58" s="44"/>
    </row>
    <row r="59" spans="1:4" ht="27" customHeight="1" x14ac:dyDescent="0.2">
      <c r="A59" s="41"/>
      <c r="B59" s="45" t="s">
        <v>62</v>
      </c>
      <c r="C59" s="43">
        <f>ROUND((C55+C56)*1.4/100,2)</f>
        <v>79597.95</v>
      </c>
    </row>
    <row r="60" spans="1:4" ht="27" customHeight="1" x14ac:dyDescent="0.2">
      <c r="A60" s="41"/>
      <c r="B60" s="46" t="s">
        <v>63</v>
      </c>
      <c r="C60" s="47">
        <f>C52+C59</f>
        <v>7320679.7000000002</v>
      </c>
    </row>
    <row r="61" spans="1:4" ht="21" customHeight="1" x14ac:dyDescent="0.2">
      <c r="A61" s="41"/>
      <c r="B61" s="42" t="s">
        <v>64</v>
      </c>
      <c r="C61" s="43">
        <f>ROUND(C60*3/100,2)</f>
        <v>219620.39</v>
      </c>
    </row>
    <row r="62" spans="1:4" ht="28.5" customHeight="1" x14ac:dyDescent="0.2">
      <c r="A62" s="48"/>
      <c r="B62" s="49" t="s">
        <v>65</v>
      </c>
      <c r="C62" s="50">
        <f>SUM(C60:C61)</f>
        <v>7540300.0899999999</v>
      </c>
    </row>
    <row r="64" spans="1:4" x14ac:dyDescent="0.2">
      <c r="C64" s="57"/>
    </row>
    <row r="65" spans="1:3" x14ac:dyDescent="0.2">
      <c r="C65" s="57"/>
    </row>
    <row r="67" spans="1:3" x14ac:dyDescent="0.2">
      <c r="A67" s="51" t="s">
        <v>85</v>
      </c>
    </row>
    <row r="70" spans="1:3" x14ac:dyDescent="0.2">
      <c r="A70" s="51" t="s">
        <v>84</v>
      </c>
    </row>
  </sheetData>
  <mergeCells count="6">
    <mergeCell ref="A52:B52"/>
    <mergeCell ref="A2:C2"/>
    <mergeCell ref="A3:C3"/>
    <mergeCell ref="A4:C4"/>
    <mergeCell ref="A1:C1"/>
    <mergeCell ref="A51:B51"/>
  </mergeCells>
  <pageMargins left="0.7" right="0.7" top="0.75" bottom="0.75" header="0.3" footer="0.3"/>
  <pageSetup paperSize="9" scale="87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Смета по ТСН-2001</vt:lpstr>
      <vt:lpstr>Аналог</vt:lpstr>
      <vt:lpstr>'Смета по ТСН-2001'!Заголовки_для_печати</vt:lpstr>
      <vt:lpstr>Аналог!Область_печати</vt:lpstr>
      <vt:lpstr>'Смета по ТСН-2001'!Область_печати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Карпеев Антон Сергеевич</dc:creator>
  <cp:lastModifiedBy>Проскурина Наталья Сергеевна</cp:lastModifiedBy>
  <cp:lastPrinted>2017-02-17T12:08:23Z</cp:lastPrinted>
  <dcterms:created xsi:type="dcterms:W3CDTF">2015-06-03T08:14:31Z</dcterms:created>
  <dcterms:modified xsi:type="dcterms:W3CDTF">2017-03-31T06:57:46Z</dcterms:modified>
</cp:coreProperties>
</file>