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1715" yWindow="75" windowWidth="17085" windowHeight="12450" tabRatio="83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6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ПОЖ!$A$1:$H$36</definedName>
    <definedName name="_xlnm.Print_Area" localSheetId="5">РДП!$A$1:$H$33</definedName>
    <definedName name="_xlnm.Print_Area" localSheetId="6">СОГЛ!$A$1:$G$26</definedName>
    <definedName name="_xlnm.Print_Area" localSheetId="1">Т.с.!$A$1:$H$288</definedName>
  </definedNames>
  <calcPr calcId="145621"/>
</workbook>
</file>

<file path=xl/calcChain.xml><?xml version="1.0" encoding="utf-8"?>
<calcChain xmlns="http://schemas.openxmlformats.org/spreadsheetml/2006/main">
  <c r="H21" i="70" l="1"/>
  <c r="G21" i="70"/>
  <c r="H278" i="62"/>
  <c r="H277" i="62"/>
  <c r="H276" i="62"/>
  <c r="H275" i="62"/>
  <c r="H274" i="62"/>
  <c r="G278" i="62"/>
  <c r="G277" i="62"/>
  <c r="G276" i="62"/>
  <c r="G275" i="62"/>
  <c r="G274" i="62"/>
  <c r="C270" i="62"/>
  <c r="H249" i="62"/>
  <c r="G249" i="62"/>
  <c r="H234" i="62"/>
  <c r="G234" i="62"/>
  <c r="H198" i="62"/>
  <c r="H125" i="62"/>
  <c r="G125" i="62"/>
  <c r="H107" i="62"/>
  <c r="H99" i="62"/>
  <c r="H24" i="62"/>
  <c r="D249" i="62" l="1"/>
  <c r="H239" i="62"/>
  <c r="D210" i="62"/>
  <c r="D199" i="62"/>
  <c r="D192" i="62"/>
  <c r="D187" i="62"/>
  <c r="H141" i="62"/>
  <c r="F142" i="62"/>
  <c r="D125" i="62"/>
  <c r="D112" i="62"/>
  <c r="D101" i="62"/>
  <c r="D108" i="62"/>
  <c r="D93" i="62"/>
  <c r="H74" i="62"/>
  <c r="F59" i="62"/>
  <c r="D29" i="62"/>
  <c r="H26" i="62"/>
  <c r="D25" i="62"/>
  <c r="D18" i="62"/>
  <c r="D20" i="71" l="1"/>
  <c r="H15" i="70"/>
  <c r="H14" i="70"/>
  <c r="G15" i="70"/>
  <c r="G14" i="70"/>
  <c r="C254" i="62"/>
  <c r="D244" i="62"/>
  <c r="H244" i="62" s="1"/>
  <c r="D239" i="62"/>
  <c r="C239" i="62"/>
  <c r="F240" i="62" s="1"/>
  <c r="G239" i="62" l="1"/>
  <c r="G244" i="62"/>
  <c r="C229" i="62" l="1"/>
  <c r="D234" i="62"/>
  <c r="D229" i="62"/>
  <c r="D223" i="62"/>
  <c r="H223" i="62" s="1"/>
  <c r="C218" i="62"/>
  <c r="D218" i="62"/>
  <c r="H215" i="62"/>
  <c r="G215" i="62"/>
  <c r="H214" i="62"/>
  <c r="G214" i="62"/>
  <c r="C203" i="62"/>
  <c r="D203" i="62" s="1"/>
  <c r="C199" i="62"/>
  <c r="C210" i="62"/>
  <c r="C192" i="62"/>
  <c r="G187" i="62"/>
  <c r="H229" i="62" l="1"/>
  <c r="G229" i="62"/>
  <c r="G223" i="62"/>
  <c r="H218" i="62"/>
  <c r="G218" i="62"/>
  <c r="H197" i="62"/>
  <c r="H196" i="62"/>
  <c r="G198" i="62"/>
  <c r="G197" i="62"/>
  <c r="G196" i="62"/>
  <c r="H200" i="62"/>
  <c r="H258" i="62" s="1"/>
  <c r="G200" i="62"/>
  <c r="H208" i="62"/>
  <c r="H207" i="62"/>
  <c r="G208" i="62"/>
  <c r="G207" i="62"/>
  <c r="H259" i="62" l="1"/>
  <c r="D176" i="62"/>
  <c r="H176" i="62" s="1"/>
  <c r="C171" i="62"/>
  <c r="D171" i="62" s="1"/>
  <c r="C167" i="62"/>
  <c r="D167" i="62" s="1"/>
  <c r="D162" i="62"/>
  <c r="H162" i="62" s="1"/>
  <c r="D157" i="62"/>
  <c r="H157" i="62" s="1"/>
  <c r="C152" i="62"/>
  <c r="D152" i="62" s="1"/>
  <c r="D146" i="62"/>
  <c r="H146" i="62" s="1"/>
  <c r="C141" i="62"/>
  <c r="C131" i="62"/>
  <c r="D136" i="62"/>
  <c r="H136" i="62" s="1"/>
  <c r="D131" i="62"/>
  <c r="C120" i="62"/>
  <c r="D120" i="62"/>
  <c r="C108" i="62"/>
  <c r="C93" i="62"/>
  <c r="C112" i="62"/>
  <c r="H116" i="62" s="1"/>
  <c r="C101" i="62"/>
  <c r="C77" i="62"/>
  <c r="D77" i="62" s="1"/>
  <c r="G78" i="62" s="1"/>
  <c r="C73" i="62"/>
  <c r="D82" i="62"/>
  <c r="H82" i="62" s="1"/>
  <c r="D73" i="62"/>
  <c r="G74" i="62" s="1"/>
  <c r="D68" i="62"/>
  <c r="H68" i="62" s="1"/>
  <c r="D63" i="62"/>
  <c r="H63" i="62" s="1"/>
  <c r="C58" i="62"/>
  <c r="D58" i="62" s="1"/>
  <c r="C37" i="62"/>
  <c r="D37" i="62" s="1"/>
  <c r="D42" i="62"/>
  <c r="G42" i="62" s="1"/>
  <c r="C29" i="62"/>
  <c r="C24" i="62"/>
  <c r="C25" i="62" s="1"/>
  <c r="C23" i="62"/>
  <c r="C22" i="62"/>
  <c r="C181" i="62" l="1"/>
  <c r="D181" i="62" s="1"/>
  <c r="D141" i="62"/>
  <c r="G116" i="62"/>
  <c r="H117" i="62"/>
  <c r="G162" i="62"/>
  <c r="G117" i="62"/>
  <c r="G172" i="62"/>
  <c r="H172" i="62"/>
  <c r="G168" i="62"/>
  <c r="H168" i="62"/>
  <c r="G176" i="62"/>
  <c r="H152" i="62"/>
  <c r="G152" i="62"/>
  <c r="G157" i="62"/>
  <c r="G141" i="62"/>
  <c r="G146" i="62"/>
  <c r="H131" i="62"/>
  <c r="G131" i="62"/>
  <c r="G136" i="62"/>
  <c r="H120" i="62"/>
  <c r="G120" i="62"/>
  <c r="G98" i="62"/>
  <c r="H97" i="62"/>
  <c r="G99" i="62"/>
  <c r="H98" i="62"/>
  <c r="G97" i="62"/>
  <c r="H109" i="62"/>
  <c r="G109" i="62"/>
  <c r="G106" i="62"/>
  <c r="H105" i="62"/>
  <c r="G107" i="62"/>
  <c r="H106" i="62"/>
  <c r="G105" i="62"/>
  <c r="H42" i="62"/>
  <c r="G58" i="62"/>
  <c r="G68" i="62"/>
  <c r="H78" i="62"/>
  <c r="G82" i="62"/>
  <c r="G63" i="62"/>
  <c r="H37" i="62"/>
  <c r="G37" i="62"/>
  <c r="H34" i="62"/>
  <c r="G33" i="62"/>
  <c r="G34" i="62"/>
  <c r="H33" i="62"/>
  <c r="C18" i="62"/>
  <c r="G26" i="62"/>
  <c r="H181" i="62" l="1"/>
  <c r="G181" i="62"/>
  <c r="C87" i="62"/>
  <c r="D87" i="62" s="1"/>
  <c r="H58" i="62"/>
  <c r="G24" i="62"/>
  <c r="G22" i="62"/>
  <c r="H23" i="62"/>
  <c r="G23" i="62"/>
  <c r="H22" i="62"/>
  <c r="G87" i="62" l="1"/>
  <c r="H87" i="62"/>
  <c r="C48" i="62" l="1"/>
  <c r="D17" i="74" l="1"/>
  <c r="G17" i="74" s="1"/>
  <c r="D53" i="62" l="1"/>
  <c r="D48" i="62"/>
  <c r="G48" i="62" l="1"/>
  <c r="H48" i="62"/>
  <c r="G53" i="62"/>
  <c r="H53" i="62"/>
  <c r="G20" i="71"/>
  <c r="F54" i="70"/>
  <c r="H53" i="70"/>
  <c r="G53" i="70"/>
  <c r="F52" i="70"/>
  <c r="H51" i="70"/>
  <c r="G51" i="70"/>
  <c r="F50" i="70"/>
  <c r="H49" i="70" s="1"/>
  <c r="G49" i="70"/>
  <c r="H48" i="70"/>
  <c r="G48" i="70"/>
  <c r="H47" i="70"/>
  <c r="G47" i="70"/>
  <c r="H45" i="70"/>
  <c r="G45" i="70"/>
  <c r="G42" i="70"/>
  <c r="H41" i="70"/>
  <c r="H42" i="70" s="1"/>
  <c r="G41" i="70"/>
  <c r="G38" i="70"/>
  <c r="F38" i="70"/>
  <c r="H38" i="70" s="1"/>
  <c r="H37" i="70"/>
  <c r="H39" i="70" s="1"/>
  <c r="G37" i="70"/>
  <c r="H35" i="70"/>
  <c r="G36" i="70" s="1"/>
  <c r="G35" i="70"/>
  <c r="H34" i="70"/>
  <c r="G34" i="70"/>
  <c r="H29" i="70"/>
  <c r="G29" i="70"/>
  <c r="B29" i="70"/>
  <c r="H28" i="70"/>
  <c r="G28" i="70"/>
  <c r="B28" i="70"/>
  <c r="H27" i="70"/>
  <c r="G30" i="70" s="1"/>
  <c r="G27" i="70"/>
  <c r="B27" i="70"/>
  <c r="H25" i="70"/>
  <c r="G25" i="70"/>
  <c r="H23" i="70"/>
  <c r="G23" i="70"/>
  <c r="H22" i="70"/>
  <c r="G22" i="70"/>
  <c r="H20" i="70"/>
  <c r="G20" i="70"/>
  <c r="H19" i="70"/>
  <c r="G19" i="70"/>
  <c r="H18" i="70"/>
  <c r="G18" i="70"/>
  <c r="H17" i="70"/>
  <c r="G17" i="70"/>
  <c r="H16" i="70"/>
  <c r="H20" i="71" l="1"/>
  <c r="H21" i="71" s="1"/>
  <c r="G33" i="70"/>
  <c r="G32" i="70"/>
  <c r="G31" i="70"/>
  <c r="H33" i="70"/>
  <c r="H32" i="70"/>
  <c r="H31" i="70"/>
  <c r="H55" i="70" s="1"/>
  <c r="H36" i="70"/>
  <c r="G39" i="70"/>
  <c r="H56" i="70" l="1"/>
  <c r="H57" i="70" s="1"/>
  <c r="G56" i="70"/>
  <c r="H59" i="70" l="1"/>
  <c r="H58" i="70"/>
  <c r="G59" i="70"/>
  <c r="G58" i="70"/>
  <c r="G57" i="70"/>
  <c r="H60" i="70" l="1"/>
  <c r="G61" i="70" s="1"/>
  <c r="G60" i="70"/>
  <c r="H61" i="70" l="1"/>
  <c r="D15" i="74" s="1"/>
  <c r="G15" i="74" s="1"/>
  <c r="B26" i="72"/>
  <c r="B41" i="63"/>
  <c r="B44" i="63" l="1"/>
  <c r="B64" i="70"/>
  <c r="B31" i="71"/>
  <c r="B27" i="76"/>
  <c r="B21" i="72"/>
  <c r="B68" i="70"/>
  <c r="B35" i="71"/>
  <c r="B31" i="76"/>
  <c r="A7" i="76" l="1"/>
  <c r="D17" i="76"/>
  <c r="G17" i="76" s="1"/>
  <c r="D13" i="76"/>
  <c r="H13" i="76" s="1"/>
  <c r="G13" i="76" l="1"/>
  <c r="H17" i="76"/>
  <c r="H21" i="76" s="1"/>
  <c r="H22" i="76" l="1"/>
  <c r="G22" i="76"/>
  <c r="H23" i="76" l="1"/>
  <c r="G23" i="76"/>
  <c r="D254" i="62" l="1"/>
  <c r="H254" i="62" s="1"/>
  <c r="D19" i="71" l="1"/>
  <c r="G254" i="62"/>
  <c r="A9" i="72"/>
  <c r="A9" i="71"/>
  <c r="A9" i="70"/>
  <c r="A7" i="63"/>
  <c r="A8" i="62"/>
  <c r="H19" i="71" l="1"/>
  <c r="G19" i="71"/>
  <c r="F14" i="63"/>
  <c r="F21" i="63" l="1"/>
  <c r="F29" i="63" l="1"/>
  <c r="F31" i="63" l="1"/>
  <c r="G31" i="63" s="1"/>
  <c r="G32" i="63" s="1"/>
  <c r="G33" i="63" s="1"/>
  <c r="D16" i="74" l="1"/>
  <c r="G16" i="74" s="1"/>
  <c r="F23" i="63" l="1"/>
  <c r="F16" i="63"/>
  <c r="G16" i="63" s="1"/>
  <c r="G17" i="63" s="1"/>
  <c r="G18" i="63" s="1"/>
  <c r="C271" i="62"/>
  <c r="G23" i="63" l="1"/>
  <c r="G24" i="63" s="1"/>
  <c r="G25" i="63" s="1"/>
  <c r="G35" i="63" s="1"/>
  <c r="D11" i="74" s="1"/>
  <c r="G259" i="62"/>
  <c r="C272" i="62"/>
  <c r="G19" i="63"/>
  <c r="C264" i="62" l="1"/>
  <c r="D264" i="62" s="1"/>
  <c r="G264" i="62" s="1"/>
  <c r="H264" i="62" s="1"/>
  <c r="H267" i="62" s="1"/>
  <c r="F21" i="70"/>
  <c r="D12" i="74"/>
  <c r="G11" i="74"/>
  <c r="G12" i="74" s="1"/>
  <c r="G26" i="63"/>
  <c r="G36" i="63"/>
  <c r="G37" i="63" s="1"/>
  <c r="H279" i="62" l="1"/>
  <c r="I280" i="62" l="1"/>
  <c r="C14" i="72" s="1"/>
  <c r="G16" i="72" s="1"/>
  <c r="H280" i="62"/>
  <c r="H281" i="62" l="1"/>
  <c r="D14" i="74"/>
  <c r="G14" i="74" s="1"/>
  <c r="G281" i="62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E17" i="72" s="1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4" s="1"/>
  <c r="G18" i="74" s="1"/>
  <c r="G19" i="74" s="1"/>
  <c r="G20" i="74" s="1"/>
  <c r="G22" i="74" l="1"/>
  <c r="G23" i="74" s="1"/>
  <c r="G24" i="74" s="1"/>
  <c r="D19" i="74"/>
  <c r="D20" i="74" s="1"/>
</calcChain>
</file>

<file path=xl/sharedStrings.xml><?xml version="1.0" encoding="utf-8"?>
<sst xmlns="http://schemas.openxmlformats.org/spreadsheetml/2006/main" count="699" uniqueCount="392">
  <si>
    <t>Расчет стоимости</t>
  </si>
  <si>
    <t>НДС 18%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</si>
  <si>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</si>
  <si>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</si>
  <si>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</si>
  <si>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</si>
  <si>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</si>
  <si>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</si>
  <si>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</si>
  <si>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</si>
  <si>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</si>
  <si>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</si>
  <si>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</si>
  <si>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</si>
  <si>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</si>
  <si>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</si>
  <si>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</si>
  <si>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</si>
  <si>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</si>
  <si>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</si>
  <si>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</si>
  <si>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</si>
  <si>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</si>
  <si>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</si>
  <si>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</si>
  <si>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</si>
  <si>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</si>
  <si>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</si>
  <si>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</si>
  <si>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</si>
  <si>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</si>
  <si>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</si>
  <si>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</si>
  <si>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</si>
  <si>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</si>
  <si>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</si>
  <si>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</si>
  <si>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</si>
  <si>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</si>
  <si>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</si>
  <si>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</si>
  <si>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</si>
  <si>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</si>
  <si>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</si>
  <si>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</si>
  <si>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</si>
  <si>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</si>
  <si>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</si>
  <si>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</si>
  <si>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</si>
  <si>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</si>
  <si>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</si>
  <si>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</si>
  <si>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</si>
  <si>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</si>
  <si>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</si>
  <si>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</si>
  <si>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</si>
  <si>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</si>
  <si>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</si>
  <si>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</si>
  <si>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</si>
  <si>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</si>
  <si>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</si>
  <si>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</si>
  <si>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</si>
  <si>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</si>
  <si>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</si>
  <si>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</si>
  <si>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</si>
  <si>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</si>
  <si>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</si>
  <si>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</si>
  <si>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</si>
  <si>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</si>
  <si>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</si>
  <si>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</si>
  <si>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</si>
  <si>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</si>
  <si>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</si>
  <si>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</si>
  <si>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</si>
  <si>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</si>
  <si>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</si>
  <si>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</si>
  <si>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</si>
  <si>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</si>
  <si>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</si>
  <si>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</si>
  <si>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</si>
  <si>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</si>
  <si>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</si>
  <si>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</si>
  <si>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</si>
  <si>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</si>
  <si>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</si>
  <si>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</si>
  <si>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</si>
  <si>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</si>
  <si>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</si>
  <si>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</si>
  <si>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</si>
  <si>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</si>
  <si>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</si>
  <si>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</si>
  <si>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</si>
  <si>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</si>
  <si>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</si>
  <si>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</si>
  <si>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</si>
  <si>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</si>
  <si>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</si>
  <si>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</si>
  <si>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</si>
  <si>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</si>
  <si>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</si>
  <si>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</si>
  <si>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</si>
  <si>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</si>
  <si>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</si>
  <si>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</si>
  <si>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</si>
  <si>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</si>
  <si>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</si>
  <si>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</si>
  <si>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</si>
  <si>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</si>
  <si>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</si>
  <si>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</si>
  <si>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</si>
  <si>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</si>
  <si>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</si>
  <si>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</si>
  <si>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</si>
  <si>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</si>
  <si>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</si>
  <si>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</si>
  <si>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</si>
  <si>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</si>
  <si>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</si>
  <si>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</si>
  <si>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</si>
  <si>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</si>
  <si>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</si>
  <si>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</si>
  <si>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</si>
  <si>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</si>
  <si>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</si>
  <si>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</si>
  <si>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</si>
  <si>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</si>
  <si>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</si>
  <si>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</si>
  <si>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</si>
  <si>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</si>
  <si>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</si>
  <si>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</si>
  <si>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</si>
  <si>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</si>
  <si>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</si>
  <si>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</si>
  <si>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</si>
  <si>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</si>
  <si>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</si>
  <si>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</si>
  <si>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</si>
  <si>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</si>
  <si>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</si>
  <si>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</si>
  <si>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</si>
  <si>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</si>
  <si>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</si>
  <si>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</si>
  <si>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</si>
  <si>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</si>
  <si>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</si>
  <si>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</si>
  <si>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</si>
  <si>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</si>
  <si>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</si>
  <si>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</si>
  <si>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</si>
  <si>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</si>
  <si>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</si>
  <si>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</si>
  <si>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</si>
  <si>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</si>
  <si>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</si>
  <si>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Расчет рассеивания ЗВ (от п.11)</t>
  </si>
  <si>
    <t>Расчет массы выбросов ЗВ от стационарных и передвижных источников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</si>
  <si>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</si>
  <si>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</si>
  <si>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</si>
  <si>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</si>
  <si>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</si>
  <si>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</si>
  <si>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</si>
  <si>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</si>
  <si>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</si>
  <si>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</si>
  <si>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</si>
  <si>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</si>
  <si>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</si>
  <si>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</si>
  <si>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</si>
  <si>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</si>
  <si>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</si>
  <si>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</si>
  <si>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</si>
  <si>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</si>
  <si>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</si>
  <si>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</si>
  <si>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</si>
  <si>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</si>
  <si>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</si>
  <si>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</si>
  <si>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</si>
  <si>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</si>
  <si>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</si>
  <si>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</si>
  <si>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</si>
  <si>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</si>
  <si>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</si>
  <si>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</si>
  <si>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</si>
  <si>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</si>
  <si>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</si>
  <si>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</si>
  <si>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</si>
  <si>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</si>
  <si>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</si>
  <si>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</si>
  <si>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</si>
  <si>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</si>
  <si>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</si>
  <si>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</si>
  <si>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</si>
  <si>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</si>
  <si>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</si>
  <si>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</si>
  <si>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</si>
  <si>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</si>
  <si>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</si>
  <si>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</si>
  <si>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</si>
  <si>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</si>
  <si>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</si>
  <si>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 xml:space="preserve">Итого по Сводному расчету </t>
  </si>
  <si>
    <t>Смета № 5</t>
  </si>
  <si>
    <t>Смета № 4</t>
  </si>
  <si>
    <t>Смета № 3</t>
  </si>
  <si>
    <t>Смета № 1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</si>
  <si>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</si>
  <si>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</si>
  <si>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</si>
  <si>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</si>
  <si>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</si>
  <si>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</si>
  <si>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>Сводный   расчет</t>
  </si>
  <si>
    <t>Индекс пересчета на изыскательские работы  на 4 квартал 2016г. (Письмо Минстроя РФ №41695-ХМ от 09.12.2016г)</t>
  </si>
  <si>
    <t>Индекс пересчета на проектные работы на 1 квартал 2017 г.(Распоряжение департамента Москвы №55-Р от 30.12.2015г.)</t>
  </si>
  <si>
    <t>Передача сигнала РДП</t>
  </si>
  <si>
    <t>Индекс пересчета на проектные работы  на 4 квартал 2016г. (Письмо Минстроя РФ №41695-ХМ от 09.12.2016г)</t>
  </si>
  <si>
    <t>Смета № 6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</si>
  <si>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</si>
  <si>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</si>
  <si>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</si>
  <si>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</si>
  <si>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</si>
  <si>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</si>
  <si>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</si>
  <si>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</si>
  <si>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</si>
  <si>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</si>
  <si>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</si>
  <si>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</si>
  <si>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</si>
  <si>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</si>
  <si>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</si>
  <si>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</si>
  <si>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Всего по сводному расчету, в т.ч. НДС 18%</t>
  </si>
  <si>
    <t>Тепловая камера : 
                                        S=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</si>
  <si>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</si>
  <si>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</si>
  <si>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</si>
  <si>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</si>
  <si>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Итого по сводному расчету в текущих ценах</t>
  </si>
  <si>
    <t>территория жилой застройки</t>
  </si>
  <si>
    <t>городские магистрали</t>
  </si>
  <si>
    <t>Натуральный показатель "X", 
м. кв.</t>
  </si>
  <si>
    <t>до 500</t>
  </si>
  <si>
    <t>от 500 до 5000</t>
  </si>
  <si>
    <t>от 5000 до 10000</t>
  </si>
  <si>
    <t>от 10000 до 50000</t>
  </si>
  <si>
    <t>от 50000 до 100000</t>
  </si>
  <si>
    <t>от 100000 до 200000</t>
  </si>
  <si>
    <t>свыше 200000</t>
  </si>
  <si>
    <t>(Таблица 50) ТЧ п.6.5</t>
  </si>
  <si>
    <t>комплекс</t>
  </si>
  <si>
    <t xml:space="preserve">3.2.1 таблица 6 </t>
  </si>
  <si>
    <t>Акустический режим объекта. Натурные замеры уровней шума на территории</t>
  </si>
  <si>
    <t>1измерение в 1точке</t>
  </si>
  <si>
    <t>3.2.7 таблица 17а, п.1</t>
  </si>
  <si>
    <t>коэф. 1,15 на выпуск разделов отдельными томами</t>
  </si>
  <si>
    <t>Раздел. Оплата согласований</t>
  </si>
  <si>
    <t>Разработана на основании "Сборника Единой нормативной базы МРР. Глава 4. Архитектурно-строительное проектирование. Основные проектные работы. Сборник 4.2. Инженерные сети и  сооружения. МРР -4.2-16"</t>
  </si>
  <si>
    <t>Обоснование расчета                                        № поз. МРР-6.1-16</t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</si>
  <si>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(МРР-1.1-16 табл. 5.2)</t>
    </r>
  </si>
  <si>
    <t>Разработана на основании "Сборника Единой нормативной базы МРР. Глава 7. Объекты благоустройства и городской среды. Сборник 7.1.  Комплексное благоустройство территорий, крыш зданий и других  искусственных оснований" МРР -7.1-16</t>
  </si>
  <si>
    <t>Благоустройство: территория жилой застройки    (Табл. 2.2.1 п.1), га.</t>
  </si>
  <si>
    <t>Разработана на основании "Сборника Единой нормативной базы МРР. Глава 6. Разделы проектной документации,не вошедшие в стоимость основных проектных работ. Сборник 6.1 Мероприятия по охранеокружающей среды. МРР-6.1-16"</t>
  </si>
  <si>
    <t>Разработана на основании "Сборника Единой нормативной базы МРР. Глава 6.  Разделы проектной документации,не вошедшие в  стоимость основных проектных работ. Сборник 6.2  Мероприятия по обеспечению пожарной безопасности. МРР-6.2-16</t>
  </si>
  <si>
    <t>строительная часть 100%</t>
  </si>
  <si>
    <t>(табл.3.4 п.1)   Ц(б)2000 = а+b*х,  где а=</t>
  </si>
  <si>
    <t>(табл.3.5 п.4)    Ц(б)2000 = 
а+b*х,  где а=</t>
  </si>
  <si>
    <t>(табл.3.4 п.12а)  Ц(б)2000 = а,  где а=</t>
  </si>
  <si>
    <t>3.2.5. Табл.10, п.2</t>
  </si>
  <si>
    <t>(табл.3.4 п.13)   Ц(б)2000 = а+b*х,  где а=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</si>
  <si>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2 п.2.9)</t>
    </r>
  </si>
  <si>
    <r>
      <t xml:space="preserve">К1 </t>
    </r>
    <r>
      <rPr>
        <sz val="10"/>
        <rFont val="Times New Roman"/>
        <family val="1"/>
        <charset val="204"/>
      </rPr>
      <t>- ППУ изоляция (табл.3.4 прим.п.6)</t>
    </r>
  </si>
  <si>
    <t>Базовая стоимость разработки проектной документации   (табл. 2.3)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</si>
  <si>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1.2)</t>
    </r>
  </si>
  <si>
    <t>Монолитная 4,2*4,6*2,0м</t>
  </si>
  <si>
    <t>Разработана на основании Сборника Единой нормативной базы МРР. Глава 6 . Разделы проектной документации,не вошедшие в стоимость основных проектных работ. 
Сборник 6.1 Мероприятия по охране  окружающей среды МРР-6.1-16</t>
  </si>
  <si>
    <t xml:space="preserve"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комплексной застройки, расположенных по адресу: 
г. Москва, Золоторожский Вал, вл. 11. </t>
  </si>
  <si>
    <t>Теплосеть до Ду300 в ППУ-ПЭ</t>
  </si>
  <si>
    <t>2 Ду 250+ 2ду200</t>
  </si>
  <si>
    <t>бесканально на ж/б основании</t>
  </si>
  <si>
    <t>в монолитном непроходном канале</t>
  </si>
  <si>
    <t>в монолитном проходном канале</t>
  </si>
  <si>
    <t>Проходной канал:           L=</t>
  </si>
  <si>
    <t>(табл.3.4 п.3)   Ц(б)2000 = а+b*х,  где а=</t>
  </si>
  <si>
    <t>(табл.3.5 п.1)   Ц(б)2000 = а+b*х,  где а=</t>
  </si>
  <si>
    <t>Теплосеть до Ду150 в ППУ-ПЭ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</si>
  <si>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</si>
  <si>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2Ду150+2ду100</t>
  </si>
  <si>
    <r>
      <t xml:space="preserve">К3 - </t>
    </r>
    <r>
      <rPr>
        <sz val="10"/>
        <rFont val="Times New Roman"/>
        <family val="1"/>
        <charset val="204"/>
      </rPr>
      <t>(табл.3.4 прим.п.16)</t>
    </r>
  </si>
  <si>
    <r>
      <t xml:space="preserve">К1 </t>
    </r>
    <r>
      <rPr>
        <sz val="10"/>
        <rFont val="Times New Roman"/>
        <family val="1"/>
        <charset val="204"/>
      </rPr>
      <t>- проходной канал (табл.3.4 прим.п.9)</t>
    </r>
  </si>
  <si>
    <t xml:space="preserve">Реконструкция тепловой камеры (камера т. Б) </t>
  </si>
  <si>
    <t>Узел управления для обслуживания шаровых кранов (ответвление, спускники и воздушникн) :</t>
  </si>
  <si>
    <t xml:space="preserve">Реконструкция тепловой камеры (камера т. А) </t>
  </si>
  <si>
    <t>Монолитная 5,2*4,6*2,0м</t>
  </si>
  <si>
    <t>Тепловая камера новая в т. 14</t>
  </si>
  <si>
    <t>Тепловая камера:
                                        S=</t>
  </si>
  <si>
    <t>Сборная 1,2*1,2*1,0м</t>
  </si>
  <si>
    <t>К - условная камера</t>
  </si>
  <si>
    <t xml:space="preserve">технологическая часть </t>
  </si>
  <si>
    <t>Бесканальный узел ППУ  т.13, 15, 16</t>
  </si>
  <si>
    <t>(табл.3.5 п.3)    Ц(б)2000 = 
а+b*х,  где а=</t>
  </si>
  <si>
    <t>Теплосеть (Байпас) :           L=</t>
  </si>
  <si>
    <t>Монтаж Байпас  до Ду500</t>
  </si>
  <si>
    <t>Камера байпаса</t>
  </si>
  <si>
    <t>Узел управления для обслуживания шаровых кранов (байпас):</t>
  </si>
  <si>
    <t>Монтаж Байпас  до Ду300</t>
  </si>
  <si>
    <t xml:space="preserve">2 Ду 250мм </t>
  </si>
  <si>
    <t>(табл.3.4 п.2)   Ц(б)2000 = а+b*х,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</si>
  <si>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(табл.3.4 прим. п.5)</t>
    </r>
  </si>
  <si>
    <t>Сборная 4,2*5,4*2,5м</t>
  </si>
  <si>
    <t>Сборная 3,2*3,0*2м</t>
  </si>
  <si>
    <t>1А очередь</t>
  </si>
  <si>
    <t>Теплосеть до Ду500 в ППУ-ПЭ</t>
  </si>
  <si>
    <t>2 Ду 500+ 2ду400</t>
  </si>
  <si>
    <t>Монолитная 5,2*5,6*2,0м</t>
  </si>
  <si>
    <t>КСО-25-700-210 - 2шт
КСО-25-700-420 - 2шт</t>
  </si>
  <si>
    <t>(табл.3.4 п.12)  Ц(б)2000 = а,  где а=</t>
  </si>
  <si>
    <t>Тепловая камера новая в т. 4</t>
  </si>
  <si>
    <t>Монолитная 4,2*3,6*2,0м</t>
  </si>
  <si>
    <t>Бесканальный узел ППУ  т.8, 9, 11</t>
  </si>
  <si>
    <t>Тепловая камера новая в т. 7</t>
  </si>
  <si>
    <t xml:space="preserve">2 Ду500мм </t>
  </si>
  <si>
    <t>Демонтаж</t>
  </si>
  <si>
    <r>
      <t>Ккор</t>
    </r>
    <r>
      <rPr>
        <sz val="10"/>
        <rFont val="Times New Roman"/>
        <family val="1"/>
        <charset val="204"/>
      </rPr>
      <t xml:space="preserve"> - демонтаж инженерных сетей (раздел 3.10, п.13)</t>
    </r>
  </si>
  <si>
    <t>Глава 3.10, п. 13. минимальная стоимость 6200 руб. Принять 6200 руб.</t>
  </si>
  <si>
    <t>2 Ду 100мм</t>
  </si>
  <si>
    <t>2Б очередь</t>
  </si>
  <si>
    <t>2 Ду 500</t>
  </si>
  <si>
    <t>2ду200</t>
  </si>
  <si>
    <t>2Ду150+2ду100+2ду80</t>
  </si>
  <si>
    <t>Тепловая камера новая в т. В</t>
  </si>
  <si>
    <t>ду500 - 2шт</t>
  </si>
  <si>
    <t>Тепловая камера новая в т. 2</t>
  </si>
  <si>
    <t>Монолитная 4,2*5,6*2,0м</t>
  </si>
  <si>
    <t>Тепловая камера в т. 3, 4</t>
  </si>
  <si>
    <t>Водоудаление до 800мм</t>
  </si>
  <si>
    <t>Канализация (Водоотведение) :                       L=</t>
  </si>
  <si>
    <t>Ду400мм</t>
  </si>
  <si>
    <t>(табл.3.3 п.1)   Ц(б)2000 = а+b*х,  где а=</t>
  </si>
  <si>
    <t xml:space="preserve"> 3.1.2 таблица 3 п.6. Проект комплексной застройки</t>
  </si>
  <si>
    <t>3.1.2 таблица 3 п.10. Проект комплексной застройки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</si>
  <si>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(табл.3.4 прим. п.4)</t>
    </r>
  </si>
  <si>
    <t>К - реконструкция раздел 2 табл. 2.1 п.1</t>
  </si>
  <si>
    <t>1Б очередь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</si>
</sst>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_-* #,##0.00\ _₽_-;\-* #,##0.00\ _₽_-;_-* &quot;-&quot;??\ _₽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  <font>
      <i/>
      <sz val="10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9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4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</cellStyleXfs>
  <cellXfs count="852">
    <xf numFmtId="0" fontId="0" fillId="0" borderId="0" xfId="0"/>
    <xf numFmtId="4" fontId="14" fillId="0" borderId="22" xfId="14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0" fontId="12" fillId="2" borderId="0" xfId="0" applyFont="1" applyFill="1"/>
    <xf numFmtId="168" fontId="14" fillId="0" borderId="0" xfId="0" applyNumberFormat="1" applyFont="1" applyFill="1" applyBorder="1" applyAlignment="1" applyProtection="1">
      <alignment horizontal="center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37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168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1" xfId="1" applyFont="1" applyFill="1" applyBorder="1" applyAlignment="1" applyProtection="1">
      <alignment horizontal="center" vertical="center" wrapText="1"/>
      <protection locked="0"/>
    </xf>
    <xf numFmtId="0" fontId="16" fillId="0" borderId="23" xfId="14" applyFont="1" applyFill="1" applyBorder="1" applyAlignment="1">
      <alignment horizontal="left" vertical="center"/>
    </xf>
    <xf numFmtId="0" fontId="16" fillId="0" borderId="23" xfId="14" applyFont="1" applyFill="1" applyBorder="1" applyAlignment="1">
      <alignment horizontal="center" vertical="center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>
      <alignment horizontal="left" vertical="center"/>
    </xf>
    <xf numFmtId="0" fontId="16" fillId="0" borderId="3" xfId="14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8" xfId="14" applyFont="1" applyFill="1" applyBorder="1" applyAlignment="1">
      <alignment horizontal="left" vertical="center"/>
    </xf>
    <xf numFmtId="0" fontId="16" fillId="0" borderId="38" xfId="14" applyFont="1" applyFill="1" applyBorder="1" applyAlignment="1">
      <alignment horizontal="center" vertical="center"/>
    </xf>
    <xf numFmtId="0" fontId="14" fillId="0" borderId="34" xfId="1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0" fontId="14" fillId="0" borderId="3" xfId="14" applyFont="1" applyFill="1" applyBorder="1" applyAlignment="1" applyProtection="1">
      <alignment horizontal="center" vertical="center" wrapText="1"/>
      <protection locked="0"/>
    </xf>
    <xf numFmtId="0" fontId="14" fillId="0" borderId="0" xfId="14" applyFont="1" applyFill="1" applyAlignment="1">
      <alignment vertical="center"/>
    </xf>
    <xf numFmtId="0" fontId="14" fillId="0" borderId="0" xfId="14" applyFont="1" applyFill="1" applyBorder="1" applyAlignment="1" applyProtection="1">
      <alignment vertical="center"/>
      <protection locked="0"/>
    </xf>
    <xf numFmtId="0" fontId="14" fillId="0" borderId="19" xfId="14" applyFont="1" applyFill="1" applyBorder="1" applyAlignment="1">
      <alignment vertical="center"/>
    </xf>
    <xf numFmtId="4" fontId="16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0" applyFont="1" applyFill="1"/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168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0" fontId="14" fillId="0" borderId="0" xfId="14" quotePrefix="1" applyFont="1" applyBorder="1" applyAlignment="1" applyProtection="1">
      <alignment horizontal="left" vertical="center" wrapText="1"/>
      <protection locked="0"/>
    </xf>
    <xf numFmtId="0" fontId="14" fillId="0" borderId="0" xfId="14" applyFont="1" applyBorder="1" applyAlignment="1" applyProtection="1">
      <alignment horizontal="left" vertical="top" wrapText="1"/>
      <protection locked="0"/>
    </xf>
    <xf numFmtId="170" fontId="14" fillId="0" borderId="0" xfId="14" applyNumberFormat="1" applyFont="1" applyBorder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4" fillId="0" borderId="20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left" vertical="top" wrapText="1"/>
      <protection locked="0"/>
    </xf>
    <xf numFmtId="0" fontId="14" fillId="0" borderId="3" xfId="14" applyFont="1" applyFill="1" applyBorder="1" applyAlignment="1" applyProtection="1">
      <alignment horizontal="left" vertical="center" wrapText="1"/>
      <protection locked="0"/>
    </xf>
    <xf numFmtId="0" fontId="14" fillId="0" borderId="1" xfId="14" applyFont="1" applyFill="1" applyBorder="1" applyAlignment="1" applyProtection="1">
      <alignment horizontal="center" vertical="center" wrapText="1"/>
      <protection locked="0"/>
    </xf>
    <xf numFmtId="4" fontId="14" fillId="0" borderId="22" xfId="14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4" applyNumberFormat="1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horizontal="center" vertical="center"/>
      <protection locked="0"/>
    </xf>
    <xf numFmtId="0" fontId="22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0" fontId="14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4" fillId="0" borderId="5" xfId="14" applyNumberFormat="1" applyFont="1" applyFill="1" applyBorder="1" applyAlignment="1" applyProtection="1">
      <alignment vertical="center" wrapText="1"/>
      <protection locked="0"/>
    </xf>
    <xf numFmtId="2" fontId="14" fillId="0" borderId="8" xfId="14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5" fillId="0" borderId="0" xfId="14" applyNumberFormat="1" applyFont="1" applyFill="1" applyBorder="1" applyAlignment="1" applyProtection="1">
      <alignment horizontal="center"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4" fillId="0" borderId="5" xfId="14" applyNumberFormat="1" applyFont="1" applyBorder="1" applyAlignment="1" applyProtection="1">
      <alignment horizontal="center" vertical="center"/>
      <protection locked="0"/>
    </xf>
    <xf numFmtId="4" fontId="25" fillId="0" borderId="0" xfId="14" applyNumberFormat="1" applyFont="1" applyBorder="1" applyAlignment="1" applyProtection="1">
      <alignment horizontal="left" vertical="center"/>
      <protection locked="0"/>
    </xf>
    <xf numFmtId="0" fontId="14" fillId="0" borderId="18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/>
      <protection locked="0"/>
    </xf>
    <xf numFmtId="0" fontId="14" fillId="0" borderId="0" xfId="12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12" applyFont="1" applyFill="1" applyBorder="1" applyAlignment="1" applyProtection="1">
      <alignment vertical="center" wrapText="1"/>
      <protection locked="0"/>
    </xf>
    <xf numFmtId="4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2" applyFont="1" applyFill="1" applyBorder="1" applyAlignment="1" applyProtection="1">
      <alignment horizontal="center" vertical="center" wrapText="1"/>
      <protection locked="0"/>
    </xf>
    <xf numFmtId="2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7" fillId="0" borderId="0" xfId="10" applyFont="1" applyFill="1" applyAlignment="1">
      <alignment vertical="center"/>
    </xf>
    <xf numFmtId="2" fontId="26" fillId="0" borderId="0" xfId="10" applyNumberFormat="1" applyFont="1" applyFill="1" applyAlignment="1">
      <alignment horizontal="center" vertical="center"/>
    </xf>
    <xf numFmtId="0" fontId="26" fillId="0" borderId="3" xfId="10" applyFont="1" applyFill="1" applyBorder="1" applyAlignment="1">
      <alignment horizontal="centerContinuous" vertical="center" wrapText="1"/>
    </xf>
    <xf numFmtId="0" fontId="26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6" fillId="0" borderId="3" xfId="10" applyFont="1" applyFill="1" applyBorder="1" applyAlignment="1">
      <alignment vertical="center" wrapText="1"/>
    </xf>
    <xf numFmtId="4" fontId="26" fillId="0" borderId="3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4" applyFont="1" applyFill="1" applyBorder="1" applyAlignment="1" applyProtection="1">
      <alignment horizontal="center" vertical="center" wrapText="1"/>
      <protection locked="0"/>
    </xf>
    <xf numFmtId="0" fontId="16" fillId="0" borderId="5" xfId="14" applyFont="1" applyFill="1" applyBorder="1" applyAlignment="1" applyProtection="1">
      <alignment horizontal="center" vertical="center" wrapText="1"/>
      <protection hidden="1"/>
    </xf>
    <xf numFmtId="0" fontId="16" fillId="0" borderId="5" xfId="14" applyFont="1" applyFill="1" applyBorder="1" applyAlignment="1">
      <alignment horizontal="center" vertical="center" wrapText="1"/>
    </xf>
    <xf numFmtId="0" fontId="16" fillId="0" borderId="9" xfId="14" applyFont="1" applyFill="1" applyBorder="1" applyAlignment="1" applyProtection="1">
      <alignment horizontal="center" vertical="center" wrapText="1"/>
      <protection hidden="1"/>
    </xf>
    <xf numFmtId="4" fontId="14" fillId="0" borderId="30" xfId="14" applyNumberFormat="1" applyFont="1" applyFill="1" applyBorder="1" applyAlignment="1">
      <alignment horizontal="right" vertical="center" wrapText="1"/>
    </xf>
    <xf numFmtId="4" fontId="14" fillId="0" borderId="1" xfId="14" applyNumberFormat="1" applyFont="1" applyFill="1" applyBorder="1" applyAlignment="1">
      <alignment horizontal="center" vertical="center" wrapText="1"/>
    </xf>
    <xf numFmtId="4" fontId="22" fillId="0" borderId="0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center" wrapText="1"/>
    </xf>
    <xf numFmtId="0" fontId="14" fillId="0" borderId="3" xfId="14" applyFont="1" applyFill="1" applyBorder="1" applyAlignment="1" applyProtection="1">
      <alignment vertical="center"/>
      <protection locked="0"/>
    </xf>
    <xf numFmtId="0" fontId="14" fillId="0" borderId="3" xfId="14" applyFont="1" applyFill="1" applyBorder="1" applyAlignment="1">
      <alignment horizontal="center" vertical="center"/>
    </xf>
    <xf numFmtId="0" fontId="14" fillId="0" borderId="3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vertical="top" wrapText="1"/>
    </xf>
    <xf numFmtId="0" fontId="14" fillId="0" borderId="16" xfId="14" applyFont="1" applyFill="1" applyBorder="1" applyAlignment="1">
      <alignment vertical="center" wrapText="1"/>
    </xf>
    <xf numFmtId="4" fontId="14" fillId="0" borderId="6" xfId="14" applyNumberFormat="1" applyFont="1" applyFill="1" applyBorder="1" applyAlignment="1">
      <alignment horizontal="center" vertical="center" wrapText="1"/>
    </xf>
    <xf numFmtId="1" fontId="14" fillId="0" borderId="6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top" wrapText="1"/>
    </xf>
    <xf numFmtId="4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>
      <alignment vertical="center"/>
    </xf>
    <xf numFmtId="0" fontId="16" fillId="0" borderId="3" xfId="14" applyFont="1" applyBorder="1" applyAlignment="1" applyProtection="1">
      <alignment vertical="center" wrapText="1"/>
      <protection locked="0"/>
    </xf>
    <xf numFmtId="4" fontId="16" fillId="0" borderId="3" xfId="14" applyNumberFormat="1" applyFont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Fill="1" applyBorder="1" applyAlignment="1" applyProtection="1">
      <alignment vertical="center" wrapText="1"/>
      <protection locked="0"/>
    </xf>
    <xf numFmtId="0" fontId="16" fillId="0" borderId="3" xfId="14" applyFont="1" applyBorder="1" applyAlignment="1" applyProtection="1">
      <alignment horizontal="center" vertical="center"/>
      <protection locked="0"/>
    </xf>
    <xf numFmtId="2" fontId="16" fillId="0" borderId="3" xfId="14" applyNumberFormat="1" applyFont="1" applyFill="1" applyBorder="1" applyAlignment="1" applyProtection="1">
      <alignment vertical="center" wrapText="1"/>
      <protection locked="0"/>
    </xf>
    <xf numFmtId="166" fontId="14" fillId="0" borderId="3" xfId="14" applyNumberFormat="1" applyFont="1" applyFill="1" applyBorder="1" applyAlignment="1" applyProtection="1">
      <alignment horizontal="center" vertical="center"/>
      <protection locked="0"/>
    </xf>
    <xf numFmtId="0" fontId="14" fillId="0" borderId="3" xfId="14" applyFont="1" applyBorder="1" applyAlignment="1" applyProtection="1">
      <alignment horizontal="center" vertical="center" wrapText="1"/>
      <protection locked="0"/>
    </xf>
    <xf numFmtId="4" fontId="14" fillId="0" borderId="3" xfId="14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4" fontId="22" fillId="0" borderId="0" xfId="14" applyNumberFormat="1" applyFont="1" applyBorder="1" applyAlignment="1" applyProtection="1">
      <alignment vertical="center"/>
      <protection locked="0"/>
    </xf>
    <xf numFmtId="0" fontId="22" fillId="0" borderId="0" xfId="14" applyFont="1" applyBorder="1" applyAlignment="1" applyProtection="1">
      <alignment vertical="center"/>
      <protection locked="0"/>
    </xf>
    <xf numFmtId="0" fontId="31" fillId="0" borderId="3" xfId="17" applyFont="1" applyBorder="1" applyAlignment="1">
      <alignment horizontal="center" vertical="center"/>
    </xf>
    <xf numFmtId="169" fontId="14" fillId="0" borderId="0" xfId="0" applyNumberFormat="1" applyFont="1" applyFill="1"/>
    <xf numFmtId="0" fontId="29" fillId="0" borderId="0" xfId="16" applyFont="1"/>
    <xf numFmtId="0" fontId="31" fillId="0" borderId="3" xfId="17" applyFont="1" applyBorder="1" applyAlignment="1">
      <alignment horizontal="left" vertical="top" wrapText="1"/>
    </xf>
    <xf numFmtId="169" fontId="33" fillId="0" borderId="6" xfId="17" applyNumberFormat="1" applyFont="1" applyFill="1" applyBorder="1" applyAlignment="1">
      <alignment horizontal="center" vertical="center"/>
    </xf>
    <xf numFmtId="0" fontId="32" fillId="0" borderId="0" xfId="17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2" fontId="14" fillId="0" borderId="43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4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0" fillId="0" borderId="0" xfId="17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34" fillId="2" borderId="0" xfId="0" applyFont="1" applyFill="1"/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4" applyFont="1" applyFill="1" applyAlignment="1">
      <alignment vertical="center"/>
    </xf>
    <xf numFmtId="0" fontId="22" fillId="0" borderId="0" xfId="14" applyFont="1" applyFill="1" applyBorder="1" applyAlignment="1" applyProtection="1">
      <alignment vertical="center"/>
      <protection locked="0"/>
    </xf>
    <xf numFmtId="0" fontId="35" fillId="0" borderId="0" xfId="0" applyFont="1" applyFill="1"/>
    <xf numFmtId="4" fontId="14" fillId="0" borderId="12" xfId="14" applyNumberFormat="1" applyFont="1" applyFill="1" applyBorder="1" applyAlignment="1">
      <alignment horizontal="center" vertical="center"/>
    </xf>
    <xf numFmtId="4" fontId="14" fillId="0" borderId="33" xfId="14" applyNumberFormat="1" applyFont="1" applyFill="1" applyBorder="1" applyAlignment="1">
      <alignment horizontal="center" vertical="center"/>
    </xf>
    <xf numFmtId="4" fontId="14" fillId="0" borderId="35" xfId="14" applyNumberFormat="1" applyFont="1" applyFill="1" applyBorder="1" applyAlignment="1">
      <alignment horizontal="center" vertical="center"/>
    </xf>
    <xf numFmtId="0" fontId="0" fillId="0" borderId="0" xfId="0" applyFont="1"/>
    <xf numFmtId="0" fontId="37" fillId="0" borderId="3" xfId="17" applyFont="1" applyBorder="1" applyAlignment="1">
      <alignment horizontal="center" vertical="center" wrapText="1"/>
    </xf>
    <xf numFmtId="0" fontId="38" fillId="0" borderId="3" xfId="17" applyFont="1" applyBorder="1" applyAlignment="1">
      <alignment horizontal="center" vertical="center" wrapText="1"/>
    </xf>
    <xf numFmtId="169" fontId="38" fillId="0" borderId="3" xfId="17" applyNumberFormat="1" applyFont="1" applyBorder="1" applyAlignment="1">
      <alignment horizontal="center" vertical="center" wrapText="1"/>
    </xf>
    <xf numFmtId="0" fontId="37" fillId="0" borderId="3" xfId="17" applyFont="1" applyBorder="1" applyAlignment="1">
      <alignment horizontal="center" vertical="center"/>
    </xf>
    <xf numFmtId="172" fontId="39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6" fillId="0" borderId="1" xfId="17" applyFont="1" applyBorder="1" applyAlignment="1">
      <alignment horizontal="center" vertical="center" wrapText="1"/>
    </xf>
    <xf numFmtId="0" fontId="36" fillId="0" borderId="42" xfId="17" applyFont="1" applyBorder="1" applyAlignment="1">
      <alignment horizontal="center" vertical="center" wrapText="1"/>
    </xf>
    <xf numFmtId="0" fontId="36" fillId="0" borderId="2" xfId="17" applyFont="1" applyBorder="1" applyAlignment="1">
      <alignment horizontal="center" vertical="center" wrapText="1"/>
    </xf>
    <xf numFmtId="0" fontId="40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39" xfId="0" applyNumberFormat="1" applyFont="1" applyFill="1" applyBorder="1" applyAlignment="1" applyProtection="1">
      <alignment horizontal="center" vertical="center"/>
      <protection locked="0"/>
    </xf>
    <xf numFmtId="4" fontId="16" fillId="0" borderId="33" xfId="0" applyNumberFormat="1" applyFont="1" applyFill="1" applyBorder="1" applyAlignment="1">
      <alignment horizontal="center" vertical="center"/>
    </xf>
    <xf numFmtId="4" fontId="14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6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0" fontId="14" fillId="0" borderId="45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46" xfId="0" applyNumberFormat="1" applyFont="1" applyFill="1" applyBorder="1" applyAlignment="1" applyProtection="1">
      <alignment horizontal="center" vertical="center"/>
      <protection locked="0"/>
    </xf>
    <xf numFmtId="0" fontId="16" fillId="0" borderId="47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right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0" fontId="14" fillId="0" borderId="50" xfId="0" applyFont="1" applyFill="1" applyBorder="1" applyAlignment="1" applyProtection="1">
      <alignment vertical="center" wrapText="1"/>
      <protection locked="0"/>
    </xf>
    <xf numFmtId="2" fontId="14" fillId="0" borderId="50" xfId="0" applyNumberFormat="1" applyFont="1" applyFill="1" applyBorder="1" applyAlignment="1" applyProtection="1">
      <alignment horizontal="center" vertical="center"/>
      <protection locked="0"/>
    </xf>
    <xf numFmtId="2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50" xfId="0" applyFont="1" applyFill="1" applyBorder="1" applyAlignment="1" applyProtection="1">
      <alignment vertical="center"/>
      <protection locked="0"/>
    </xf>
    <xf numFmtId="2" fontId="14" fillId="0" borderId="37" xfId="0" applyNumberFormat="1" applyFont="1" applyFill="1" applyBorder="1" applyAlignment="1" applyProtection="1">
      <alignment vertical="center"/>
      <protection locked="0"/>
    </xf>
    <xf numFmtId="2" fontId="42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37" xfId="14" applyNumberFormat="1" applyFont="1" applyFill="1" applyBorder="1" applyAlignment="1">
      <alignment horizontal="right" vertical="center" wrapText="1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6" fillId="0" borderId="0" xfId="14" applyFont="1" applyFill="1" applyBorder="1" applyAlignment="1" applyProtection="1">
      <alignment vertical="center"/>
      <protection locked="0"/>
    </xf>
    <xf numFmtId="2" fontId="14" fillId="0" borderId="0" xfId="14" applyNumberFormat="1" applyFont="1" applyFill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center" vertical="center"/>
      <protection locked="0"/>
    </xf>
    <xf numFmtId="4" fontId="14" fillId="0" borderId="0" xfId="14" applyNumberFormat="1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0" fontId="14" fillId="0" borderId="19" xfId="14" applyFont="1" applyFill="1" applyBorder="1" applyAlignment="1" applyProtection="1">
      <alignment horizontal="center" vertical="center" wrapText="1"/>
      <protection locked="0"/>
    </xf>
    <xf numFmtId="0" fontId="14" fillId="0" borderId="5" xfId="14" applyFont="1" applyFill="1" applyBorder="1" applyAlignment="1" applyProtection="1">
      <alignment horizontal="center" vertical="center" wrapText="1"/>
      <protection locked="0"/>
    </xf>
    <xf numFmtId="3" fontId="14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14" applyFont="1" applyFill="1" applyBorder="1" applyAlignment="1">
      <alignment horizontal="right" vertical="center" wrapText="1"/>
    </xf>
    <xf numFmtId="0" fontId="22" fillId="0" borderId="0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14" fillId="0" borderId="6" xfId="14" applyFont="1" applyFill="1" applyBorder="1" applyAlignment="1">
      <alignment vertical="center" wrapText="1"/>
    </xf>
    <xf numFmtId="0" fontId="14" fillId="0" borderId="4" xfId="14" applyFont="1" applyFill="1" applyBorder="1" applyAlignment="1">
      <alignment vertical="top" wrapText="1"/>
    </xf>
    <xf numFmtId="0" fontId="14" fillId="0" borderId="53" xfId="14" applyFont="1" applyFill="1" applyBorder="1" applyAlignment="1">
      <alignment horizontal="left" vertical="center" wrapText="1"/>
    </xf>
    <xf numFmtId="4" fontId="14" fillId="0" borderId="4" xfId="14" applyNumberFormat="1" applyFont="1" applyFill="1" applyBorder="1" applyAlignment="1">
      <alignment horizontal="center" vertical="center" wrapText="1"/>
    </xf>
    <xf numFmtId="0" fontId="14" fillId="0" borderId="4" xfId="14" applyFont="1" applyFill="1" applyBorder="1" applyAlignment="1">
      <alignment horizontal="left" vertical="center" wrapText="1"/>
    </xf>
    <xf numFmtId="1" fontId="14" fillId="0" borderId="4" xfId="14" applyNumberFormat="1" applyFont="1" applyFill="1" applyBorder="1" applyAlignment="1">
      <alignment horizontal="center" vertical="center" wrapText="1"/>
    </xf>
    <xf numFmtId="0" fontId="14" fillId="0" borderId="40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0" fontId="14" fillId="0" borderId="42" xfId="14" applyFont="1" applyFill="1" applyBorder="1" applyAlignment="1">
      <alignment horizontal="left" vertical="center" wrapText="1"/>
    </xf>
    <xf numFmtId="4" fontId="14" fillId="0" borderId="42" xfId="14" applyNumberFormat="1" applyFont="1" applyFill="1" applyBorder="1" applyAlignment="1">
      <alignment horizontal="center" vertical="center" wrapText="1"/>
    </xf>
    <xf numFmtId="1" fontId="14" fillId="0" borderId="42" xfId="14" applyNumberFormat="1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 wrapText="1"/>
    </xf>
    <xf numFmtId="0" fontId="14" fillId="0" borderId="16" xfId="14" applyFont="1" applyFill="1" applyBorder="1" applyAlignment="1">
      <alignment horizontal="left" vertical="center" wrapText="1"/>
    </xf>
    <xf numFmtId="167" fontId="22" fillId="0" borderId="0" xfId="0" applyNumberFormat="1" applyFont="1" applyFill="1"/>
    <xf numFmtId="0" fontId="14" fillId="0" borderId="20" xfId="14" applyFont="1" applyFill="1" applyBorder="1" applyAlignment="1">
      <alignment horizontal="right" vertical="center" wrapText="1"/>
    </xf>
    <xf numFmtId="16" fontId="14" fillId="0" borderId="20" xfId="14" applyNumberFormat="1" applyFont="1" applyFill="1" applyBorder="1" applyAlignment="1">
      <alignment horizontal="right" vertical="center" wrapText="1"/>
    </xf>
    <xf numFmtId="0" fontId="14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4" fillId="0" borderId="3" xfId="14" applyNumberFormat="1" applyFont="1" applyFill="1" applyBorder="1" applyAlignment="1">
      <alignment horizontal="center" vertical="center" wrapText="1"/>
    </xf>
    <xf numFmtId="3" fontId="14" fillId="0" borderId="3" xfId="14" applyNumberFormat="1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vertical="center" wrapText="1"/>
    </xf>
    <xf numFmtId="4" fontId="14" fillId="0" borderId="7" xfId="14" applyNumberFormat="1" applyFont="1" applyFill="1" applyBorder="1" applyAlignment="1">
      <alignment horizontal="center" vertical="center" wrapText="1"/>
    </xf>
    <xf numFmtId="9" fontId="14" fillId="0" borderId="7" xfId="14" applyNumberFormat="1" applyFont="1" applyFill="1" applyBorder="1" applyAlignment="1">
      <alignment horizontal="center" vertical="center" wrapText="1"/>
    </xf>
    <xf numFmtId="0" fontId="14" fillId="0" borderId="54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4" fillId="0" borderId="42" xfId="14" applyFont="1" applyFill="1" applyBorder="1" applyAlignment="1">
      <alignment horizontal="center" vertical="center" wrapText="1"/>
    </xf>
    <xf numFmtId="4" fontId="14" fillId="0" borderId="0" xfId="0" applyNumberFormat="1" applyFont="1" applyFill="1"/>
    <xf numFmtId="9" fontId="14" fillId="0" borderId="42" xfId="14" applyNumberFormat="1" applyFont="1" applyFill="1" applyBorder="1" applyAlignment="1">
      <alignment horizontal="center" vertical="center" wrapText="1"/>
    </xf>
    <xf numFmtId="3" fontId="14" fillId="0" borderId="2" xfId="14" applyNumberFormat="1" applyFont="1" applyFill="1" applyBorder="1" applyAlignment="1">
      <alignment horizontal="center" vertical="center" wrapText="1"/>
    </xf>
    <xf numFmtId="0" fontId="14" fillId="0" borderId="55" xfId="14" applyFont="1" applyFill="1" applyBorder="1" applyAlignment="1">
      <alignment horizontal="center" vertical="center" wrapText="1"/>
    </xf>
    <xf numFmtId="0" fontId="16" fillId="0" borderId="56" xfId="14" applyFont="1" applyFill="1" applyBorder="1" applyAlignment="1">
      <alignment vertical="center"/>
    </xf>
    <xf numFmtId="9" fontId="14" fillId="0" borderId="57" xfId="14" applyNumberFormat="1" applyFont="1" applyFill="1" applyBorder="1" applyAlignment="1">
      <alignment horizontal="center" vertical="center" wrapText="1"/>
    </xf>
    <xf numFmtId="4" fontId="14" fillId="0" borderId="57" xfId="14" applyNumberFormat="1" applyFont="1" applyFill="1" applyBorder="1" applyAlignment="1">
      <alignment horizontal="center" vertical="center" wrapText="1"/>
    </xf>
    <xf numFmtId="0" fontId="14" fillId="0" borderId="57" xfId="14" applyFont="1" applyFill="1" applyBorder="1" applyAlignment="1">
      <alignment horizontal="left" vertical="center" wrapText="1"/>
    </xf>
    <xf numFmtId="0" fontId="14" fillId="0" borderId="57" xfId="14" applyFont="1" applyFill="1" applyBorder="1" applyAlignment="1">
      <alignment horizontal="center" vertical="center" wrapText="1"/>
    </xf>
    <xf numFmtId="3" fontId="14" fillId="0" borderId="53" xfId="14" applyNumberFormat="1" applyFont="1" applyFill="1" applyBorder="1" applyAlignment="1">
      <alignment horizontal="center" vertical="center" wrapText="1"/>
    </xf>
    <xf numFmtId="4" fontId="14" fillId="0" borderId="59" xfId="14" applyNumberFormat="1" applyFont="1" applyFill="1" applyBorder="1" applyAlignment="1">
      <alignment horizontal="right" vertical="center" wrapText="1"/>
    </xf>
    <xf numFmtId="10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 shrinkToFit="1"/>
    </xf>
    <xf numFmtId="10" fontId="14" fillId="0" borderId="4" xfId="14" applyNumberFormat="1" applyFont="1" applyFill="1" applyBorder="1" applyAlignment="1">
      <alignment horizontal="center" vertical="center" wrapText="1"/>
    </xf>
    <xf numFmtId="0" fontId="43" fillId="0" borderId="4" xfId="14" applyFont="1" applyFill="1" applyBorder="1" applyAlignment="1">
      <alignment horizontal="left" vertical="center" wrapText="1"/>
    </xf>
    <xf numFmtId="9" fontId="14" fillId="0" borderId="4" xfId="14" applyNumberFormat="1" applyFont="1" applyFill="1" applyBorder="1" applyAlignment="1">
      <alignment horizontal="center" vertical="center" wrapText="1" shrinkToFit="1"/>
    </xf>
    <xf numFmtId="0" fontId="14" fillId="0" borderId="4" xfId="14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8" xfId="14" applyFont="1" applyFill="1" applyBorder="1" applyAlignment="1">
      <alignment horizontal="left" vertical="center" wrapText="1"/>
    </xf>
    <xf numFmtId="4" fontId="16" fillId="0" borderId="38" xfId="14" applyNumberFormat="1" applyFont="1" applyFill="1" applyBorder="1" applyAlignment="1">
      <alignment horizontal="center" vertical="center" wrapText="1" shrinkToFit="1"/>
    </xf>
    <xf numFmtId="0" fontId="16" fillId="0" borderId="38" xfId="14" applyFont="1" applyFill="1" applyBorder="1" applyAlignment="1">
      <alignment horizontal="center" vertical="center" wrapText="1" shrinkToFit="1"/>
    </xf>
    <xf numFmtId="4" fontId="16" fillId="0" borderId="51" xfId="14" applyNumberFormat="1" applyFont="1" applyFill="1" applyBorder="1" applyAlignment="1">
      <alignment horizontal="right" vertical="center" wrapText="1"/>
    </xf>
    <xf numFmtId="0" fontId="22" fillId="0" borderId="0" xfId="14" applyFont="1" applyBorder="1" applyAlignment="1" applyProtection="1">
      <alignment vertical="center" wrapText="1"/>
      <protection locked="0"/>
    </xf>
    <xf numFmtId="0" fontId="14" fillId="0" borderId="2" xfId="14" applyFont="1" applyFill="1" applyBorder="1" applyAlignment="1">
      <alignment vertical="center" wrapText="1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44" fillId="0" borderId="0" xfId="5" applyFont="1" applyAlignment="1">
      <alignment vertical="center"/>
    </xf>
    <xf numFmtId="0" fontId="44" fillId="0" borderId="0" xfId="5" applyFont="1" applyAlignment="1">
      <alignment horizontal="center" vertical="center"/>
    </xf>
    <xf numFmtId="2" fontId="44" fillId="0" borderId="0" xfId="5" applyNumberFormat="1" applyFont="1" applyBorder="1" applyAlignment="1" applyProtection="1">
      <alignment horizontal="center" vertical="center"/>
      <protection locked="0"/>
    </xf>
    <xf numFmtId="0" fontId="44" fillId="0" borderId="0" xfId="5" applyFont="1" applyBorder="1" applyAlignment="1" applyProtection="1">
      <alignment horizontal="left" vertical="center"/>
      <protection locked="0"/>
    </xf>
    <xf numFmtId="2" fontId="44" fillId="0" borderId="0" xfId="12" applyNumberFormat="1" applyFont="1" applyBorder="1" applyAlignment="1" applyProtection="1">
      <alignment vertical="center"/>
      <protection locked="0"/>
    </xf>
    <xf numFmtId="0" fontId="44" fillId="0" borderId="0" xfId="12" applyFont="1" applyBorder="1" applyAlignment="1" applyProtection="1">
      <alignment horizontal="center" vertical="center"/>
      <protection locked="0"/>
    </xf>
    <xf numFmtId="0" fontId="44" fillId="0" borderId="0" xfId="12" applyFont="1" applyBorder="1" applyAlignment="1" applyProtection="1">
      <alignment vertical="center"/>
      <protection locked="0"/>
    </xf>
    <xf numFmtId="2" fontId="45" fillId="0" borderId="0" xfId="12" applyNumberFormat="1" applyFont="1" applyBorder="1" applyAlignment="1" applyProtection="1">
      <alignment horizontal="left" vertical="center"/>
      <protection locked="0"/>
    </xf>
    <xf numFmtId="0" fontId="45" fillId="0" borderId="0" xfId="12" applyFont="1" applyBorder="1" applyAlignment="1" applyProtection="1">
      <alignment horizontal="center" vertical="center"/>
      <protection locked="0"/>
    </xf>
    <xf numFmtId="0" fontId="45" fillId="0" borderId="0" xfId="12" applyFont="1" applyBorder="1" applyAlignment="1" applyProtection="1">
      <alignment vertical="center"/>
      <protection locked="0"/>
    </xf>
    <xf numFmtId="2" fontId="45" fillId="0" borderId="0" xfId="14" applyNumberFormat="1" applyFont="1" applyFill="1" applyBorder="1" applyAlignment="1" applyProtection="1">
      <alignment horizontal="left" vertical="center"/>
      <protection locked="0"/>
    </xf>
    <xf numFmtId="0" fontId="45" fillId="0" borderId="0" xfId="12" applyFont="1" applyFill="1" applyBorder="1" applyAlignment="1" applyProtection="1">
      <alignment vertical="center"/>
      <protection locked="0"/>
    </xf>
    <xf numFmtId="0" fontId="44" fillId="0" borderId="0" xfId="14" applyFont="1" applyFill="1" applyBorder="1" applyAlignment="1" applyProtection="1">
      <alignment vertical="center"/>
      <protection locked="0"/>
    </xf>
    <xf numFmtId="0" fontId="46" fillId="0" borderId="0" xfId="36" applyFont="1" applyAlignment="1">
      <alignment vertical="center"/>
    </xf>
    <xf numFmtId="0" fontId="44" fillId="0" borderId="0" xfId="5" applyFont="1" applyFill="1" applyAlignment="1">
      <alignment vertical="center"/>
    </xf>
    <xf numFmtId="4" fontId="44" fillId="0" borderId="0" xfId="14" applyNumberFormat="1" applyFont="1" applyFill="1" applyBorder="1" applyAlignment="1" applyProtection="1">
      <alignment horizontal="right" vertical="center"/>
      <protection locked="0"/>
    </xf>
    <xf numFmtId="0" fontId="47" fillId="0" borderId="0" xfId="5" applyFont="1" applyAlignment="1">
      <alignment vertical="center"/>
    </xf>
    <xf numFmtId="0" fontId="48" fillId="0" borderId="0" xfId="0" applyFont="1" applyAlignment="1">
      <alignment vertical="center" wrapText="1"/>
    </xf>
    <xf numFmtId="0" fontId="44" fillId="0" borderId="0" xfId="0" applyFont="1" applyFill="1" applyBorder="1" applyAlignment="1" applyProtection="1">
      <alignment vertical="center"/>
      <protection locked="0"/>
    </xf>
    <xf numFmtId="0" fontId="45" fillId="0" borderId="0" xfId="0" applyFont="1" applyFill="1" applyBorder="1" applyAlignment="1" applyProtection="1">
      <alignment vertical="center" wrapText="1"/>
      <protection locked="0"/>
    </xf>
    <xf numFmtId="4" fontId="44" fillId="0" borderId="0" xfId="0" applyNumberFormat="1" applyFont="1" applyFill="1" applyBorder="1" applyAlignment="1" applyProtection="1">
      <alignment horizontal="center" vertical="center"/>
      <protection locked="0"/>
    </xf>
    <xf numFmtId="2" fontId="4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5" fillId="0" borderId="3" xfId="5" applyNumberFormat="1" applyFont="1" applyFill="1" applyBorder="1" applyAlignment="1">
      <alignment vertical="center"/>
    </xf>
    <xf numFmtId="43" fontId="44" fillId="0" borderId="3" xfId="5" applyNumberFormat="1" applyFont="1" applyFill="1" applyBorder="1" applyAlignment="1">
      <alignment vertical="center"/>
    </xf>
    <xf numFmtId="4" fontId="45" fillId="0" borderId="3" xfId="15" applyNumberFormat="1" applyFont="1" applyFill="1" applyBorder="1" applyAlignment="1">
      <alignment vertical="center" wrapText="1"/>
    </xf>
    <xf numFmtId="0" fontId="45" fillId="0" borderId="3" xfId="5" applyFont="1" applyFill="1" applyBorder="1" applyAlignment="1">
      <alignment horizontal="center" vertical="center" wrapText="1"/>
    </xf>
    <xf numFmtId="4" fontId="45" fillId="0" borderId="3" xfId="5" applyNumberFormat="1" applyFont="1" applyBorder="1" applyAlignment="1">
      <alignment vertical="center"/>
    </xf>
    <xf numFmtId="0" fontId="44" fillId="0" borderId="3" xfId="5" applyFont="1" applyBorder="1" applyAlignment="1">
      <alignment vertical="center"/>
    </xf>
    <xf numFmtId="4" fontId="45" fillId="0" borderId="3" xfId="15" applyNumberFormat="1" applyFont="1" applyBorder="1" applyAlignment="1" applyProtection="1">
      <alignment vertical="center"/>
      <protection locked="0"/>
    </xf>
    <xf numFmtId="0" fontId="44" fillId="0" borderId="3" xfId="5" applyFont="1" applyBorder="1" applyAlignment="1">
      <alignment horizontal="center" vertical="center" wrapText="1"/>
    </xf>
    <xf numFmtId="0" fontId="45" fillId="0" borderId="3" xfId="5" applyFont="1" applyFill="1" applyBorder="1" applyAlignment="1">
      <alignment vertical="center"/>
    </xf>
    <xf numFmtId="4" fontId="44" fillId="0" borderId="3" xfId="5" applyNumberFormat="1" applyFont="1" applyBorder="1" applyAlignment="1">
      <alignment horizontal="right" vertical="center"/>
    </xf>
    <xf numFmtId="0" fontId="43" fillId="0" borderId="3" xfId="5" applyFont="1" applyBorder="1" applyAlignment="1">
      <alignment horizontal="center" vertical="center" wrapText="1"/>
    </xf>
    <xf numFmtId="4" fontId="44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43" fontId="44" fillId="0" borderId="0" xfId="5" applyNumberFormat="1" applyFont="1" applyAlignment="1">
      <alignment horizontal="right" vertical="center"/>
    </xf>
    <xf numFmtId="0" fontId="44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44" fillId="0" borderId="3" xfId="5" applyNumberFormat="1" applyFont="1" applyBorder="1" applyAlignment="1">
      <alignment horizontal="center" vertical="center"/>
    </xf>
    <xf numFmtId="0" fontId="44" fillId="0" borderId="3" xfId="5" applyFont="1" applyBorder="1" applyAlignment="1">
      <alignment horizontal="right" vertical="center"/>
    </xf>
    <xf numFmtId="0" fontId="45" fillId="0" borderId="3" xfId="5" applyFont="1" applyBorder="1" applyAlignment="1">
      <alignment horizontal="center" vertical="center" wrapText="1"/>
    </xf>
    <xf numFmtId="0" fontId="45" fillId="0" borderId="3" xfId="5" applyFont="1" applyBorder="1" applyAlignment="1">
      <alignment vertical="center"/>
    </xf>
    <xf numFmtId="0" fontId="44" fillId="0" borderId="3" xfId="5" applyFont="1" applyBorder="1" applyAlignment="1">
      <alignment horizontal="center" vertical="center"/>
    </xf>
    <xf numFmtId="0" fontId="44" fillId="0" borderId="3" xfId="5" applyFont="1" applyBorder="1" applyAlignment="1">
      <alignment vertical="center" wrapText="1"/>
    </xf>
    <xf numFmtId="0" fontId="49" fillId="0" borderId="0" xfId="12" applyFont="1" applyBorder="1" applyAlignment="1" applyProtection="1">
      <alignment horizontal="center" vertical="center" wrapText="1"/>
      <protection locked="0"/>
    </xf>
    <xf numFmtId="2" fontId="49" fillId="0" borderId="0" xfId="12" applyNumberFormat="1" applyFont="1" applyBorder="1" applyAlignment="1" applyProtection="1">
      <alignment horizontal="center" vertical="center" wrapText="1"/>
      <protection locked="0"/>
    </xf>
    <xf numFmtId="0" fontId="50" fillId="0" borderId="0" xfId="12" applyFont="1" applyBorder="1" applyAlignment="1" applyProtection="1">
      <alignment vertical="center"/>
      <protection locked="0"/>
    </xf>
    <xf numFmtId="0" fontId="52" fillId="0" borderId="0" xfId="5" applyFont="1" applyAlignment="1">
      <alignment vertical="center"/>
    </xf>
    <xf numFmtId="0" fontId="52" fillId="0" borderId="0" xfId="5" applyFont="1" applyAlignment="1">
      <alignment horizontal="right" vertical="center"/>
    </xf>
    <xf numFmtId="0" fontId="52" fillId="0" borderId="0" xfId="5" applyFont="1" applyAlignment="1">
      <alignment horizontal="left" vertical="center"/>
    </xf>
    <xf numFmtId="2" fontId="52" fillId="0" borderId="0" xfId="5" applyNumberFormat="1" applyFont="1" applyBorder="1" applyAlignment="1" applyProtection="1">
      <alignment horizontal="left" vertical="center"/>
      <protection locked="0"/>
    </xf>
    <xf numFmtId="4" fontId="16" fillId="0" borderId="11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4" fontId="14" fillId="0" borderId="4" xfId="0" applyNumberFormat="1" applyFont="1" applyFill="1" applyBorder="1" applyAlignment="1">
      <alignment horizontal="center" vertical="center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/>
    <xf numFmtId="2" fontId="44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5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38" xfId="0" applyFont="1" applyFill="1" applyBorder="1" applyAlignment="1" applyProtection="1">
      <alignment horizontal="left" vertical="top" wrapText="1"/>
      <protection locked="0"/>
    </xf>
    <xf numFmtId="0" fontId="9" fillId="0" borderId="38" xfId="0" applyFont="1" applyFill="1" applyBorder="1" applyAlignment="1" applyProtection="1">
      <alignment horizontal="left" vertical="top" wrapText="1"/>
      <protection locked="0"/>
    </xf>
    <xf numFmtId="0" fontId="10" fillId="0" borderId="38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4" fontId="24" fillId="0" borderId="0" xfId="14" applyNumberFormat="1" applyFont="1" applyBorder="1" applyAlignment="1" applyProtection="1">
      <alignment horizontal="left" vertical="center"/>
      <protection locked="0"/>
    </xf>
    <xf numFmtId="0" fontId="54" fillId="0" borderId="10" xfId="0" applyFont="1" applyFill="1" applyBorder="1" applyAlignment="1" applyProtection="1">
      <alignment horizontal="left" wrapText="1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3" xfId="0" applyFont="1" applyFill="1" applyBorder="1" applyAlignment="1" applyProtection="1">
      <alignment vertical="center"/>
      <protection locked="0"/>
    </xf>
    <xf numFmtId="2" fontId="14" fillId="0" borderId="4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2" fontId="14" fillId="0" borderId="61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168" fontId="14" fillId="0" borderId="38" xfId="0" applyNumberFormat="1" applyFont="1" applyFill="1" applyBorder="1" applyAlignment="1">
      <alignment horizontal="center" vertical="center"/>
    </xf>
    <xf numFmtId="4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34" xfId="0" applyFont="1" applyFill="1" applyBorder="1" applyAlignment="1" applyProtection="1">
      <alignment vertical="center"/>
      <protection locked="0"/>
    </xf>
    <xf numFmtId="2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38" xfId="0" applyFont="1" applyFill="1" applyBorder="1" applyAlignment="1" applyProtection="1">
      <alignment horizontal="left" vertical="center" wrapText="1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4" fontId="51" fillId="0" borderId="0" xfId="0" applyNumberFormat="1" applyFont="1" applyBorder="1" applyAlignment="1">
      <alignment vertical="center" wrapText="1"/>
    </xf>
    <xf numFmtId="4" fontId="52" fillId="0" borderId="0" xfId="0" applyNumberFormat="1" applyFont="1" applyBorder="1" applyAlignment="1">
      <alignment vertical="center" wrapText="1"/>
    </xf>
    <xf numFmtId="0" fontId="56" fillId="0" borderId="0" xfId="0" applyFont="1" applyFill="1" applyBorder="1" applyAlignment="1" applyProtection="1">
      <alignment vertical="center"/>
      <protection locked="0"/>
    </xf>
    <xf numFmtId="0" fontId="55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55" fillId="0" borderId="3" xfId="0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4" applyFont="1" applyFill="1" applyBorder="1" applyAlignment="1">
      <alignment horizontal="center" wrapText="1"/>
    </xf>
    <xf numFmtId="4" fontId="14" fillId="0" borderId="3" xfId="14" applyNumberFormat="1" applyFont="1" applyFill="1" applyBorder="1" applyAlignment="1">
      <alignment horizontal="right" vertical="center" wrapText="1"/>
    </xf>
    <xf numFmtId="4" fontId="14" fillId="0" borderId="60" xfId="14" applyNumberFormat="1" applyFont="1" applyFill="1" applyBorder="1" applyAlignment="1">
      <alignment horizontal="right" vertical="center" wrapText="1"/>
    </xf>
    <xf numFmtId="4" fontId="16" fillId="0" borderId="30" xfId="14" applyNumberFormat="1" applyFont="1" applyFill="1" applyBorder="1" applyAlignment="1">
      <alignment horizontal="center" vertical="center" wrapText="1"/>
    </xf>
    <xf numFmtId="4" fontId="14" fillId="0" borderId="57" xfId="14" applyNumberFormat="1" applyFont="1" applyFill="1" applyBorder="1" applyAlignment="1">
      <alignment horizontal="right" vertical="center" wrapText="1"/>
    </xf>
    <xf numFmtId="4" fontId="14" fillId="0" borderId="29" xfId="14" applyNumberFormat="1" applyFont="1" applyFill="1" applyBorder="1" applyAlignment="1">
      <alignment horizontal="right" vertical="center" wrapText="1"/>
    </xf>
    <xf numFmtId="4" fontId="16" fillId="0" borderId="59" xfId="14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vertical="center"/>
    </xf>
    <xf numFmtId="1" fontId="14" fillId="0" borderId="3" xfId="0" applyNumberFormat="1" applyFont="1" applyFill="1" applyBorder="1" applyAlignment="1" applyProtection="1">
      <alignment horizontal="center" vertical="center"/>
      <protection locked="0"/>
    </xf>
    <xf numFmtId="1" fontId="14" fillId="0" borderId="3" xfId="14" applyNumberFormat="1" applyFont="1" applyFill="1" applyBorder="1" applyAlignment="1" applyProtection="1">
      <alignment horizontal="center" vertical="center"/>
      <protection locked="0"/>
    </xf>
    <xf numFmtId="4" fontId="14" fillId="0" borderId="6" xfId="14" applyNumberFormat="1" applyFont="1" applyBorder="1" applyAlignment="1" applyProtection="1">
      <alignment vertical="center"/>
      <protection locked="0"/>
    </xf>
    <xf numFmtId="3" fontId="14" fillId="0" borderId="38" xfId="0" applyNumberFormat="1" applyFont="1" applyFill="1" applyBorder="1" applyAlignment="1">
      <alignment horizontal="center" vertical="center"/>
    </xf>
    <xf numFmtId="0" fontId="57" fillId="0" borderId="0" xfId="0" applyFont="1" applyFill="1" applyBorder="1" applyAlignment="1" applyProtection="1">
      <alignment vertical="center" wrapText="1"/>
      <protection locked="0"/>
    </xf>
    <xf numFmtId="16" fontId="57" fillId="0" borderId="0" xfId="0" quotePrefix="1" applyNumberFormat="1" applyFont="1" applyFill="1" applyBorder="1" applyAlignment="1" applyProtection="1">
      <alignment horizontal="left" vertical="center" wrapText="1"/>
      <protection locked="0"/>
    </xf>
    <xf numFmtId="0" fontId="57" fillId="0" borderId="0" xfId="0" applyFont="1" applyFill="1" applyBorder="1" applyAlignment="1" applyProtection="1">
      <alignment horizontal="left" vertical="center" wrapText="1"/>
      <protection locked="0"/>
    </xf>
    <xf numFmtId="0" fontId="57" fillId="0" borderId="0" xfId="14" applyFont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6" fillId="0" borderId="23" xfId="0" applyFont="1" applyFill="1" applyBorder="1" applyAlignment="1" applyProtection="1">
      <alignment horizontal="left" vertical="top" wrapText="1"/>
      <protection locked="0"/>
    </xf>
    <xf numFmtId="4" fontId="14" fillId="0" borderId="23" xfId="0" applyNumberFormat="1" applyFont="1" applyFill="1" applyBorder="1" applyAlignment="1" applyProtection="1">
      <alignment horizontal="center" vertical="center"/>
      <protection locked="0"/>
    </xf>
    <xf numFmtId="0" fontId="16" fillId="0" borderId="23" xfId="0" applyFont="1" applyFill="1" applyBorder="1" applyAlignment="1" applyProtection="1">
      <alignment vertical="top" wrapText="1"/>
      <protection locked="0"/>
    </xf>
    <xf numFmtId="166" fontId="14" fillId="0" borderId="23" xfId="0" applyNumberFormat="1" applyFont="1" applyFill="1" applyBorder="1" applyAlignment="1" applyProtection="1">
      <alignment horizontal="center" vertical="top" wrapText="1"/>
      <protection locked="0"/>
    </xf>
    <xf numFmtId="4" fontId="14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24" xfId="0" applyNumberFormat="1" applyFont="1" applyFill="1" applyBorder="1" applyAlignment="1" applyProtection="1">
      <alignment horizontal="center" vertical="center"/>
    </xf>
    <xf numFmtId="4" fontId="14" fillId="0" borderId="3" xfId="14" applyNumberFormat="1" applyFont="1" applyFill="1" applyBorder="1" applyAlignment="1">
      <alignment horizontal="center" vertical="center" wrapText="1" shrinkToFit="1"/>
    </xf>
    <xf numFmtId="4" fontId="14" fillId="0" borderId="4" xfId="14" applyNumberFormat="1" applyFont="1" applyFill="1" applyBorder="1" applyAlignment="1">
      <alignment horizontal="center" vertical="center" wrapText="1" shrinkToFit="1"/>
    </xf>
    <xf numFmtId="2" fontId="23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2" fillId="0" borderId="0" xfId="0" applyFont="1" applyFill="1"/>
    <xf numFmtId="4" fontId="22" fillId="0" borderId="0" xfId="14" applyNumberFormat="1" applyFont="1" applyFill="1" applyAlignment="1">
      <alignment vertical="center"/>
    </xf>
    <xf numFmtId="0" fontId="23" fillId="0" borderId="0" xfId="14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/>
    <xf numFmtId="0" fontId="45" fillId="0" borderId="5" xfId="0" applyFont="1" applyFill="1" applyBorder="1" applyAlignment="1" applyProtection="1">
      <alignment horizontal="left" vertical="top" wrapText="1"/>
      <protection locked="0"/>
    </xf>
    <xf numFmtId="168" fontId="14" fillId="0" borderId="3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 applyProtection="1">
      <alignment horizontal="center" vertical="top" wrapText="1"/>
      <protection locked="0"/>
    </xf>
    <xf numFmtId="166" fontId="14" fillId="0" borderId="5" xfId="8" applyNumberFormat="1" applyFont="1" applyFill="1" applyBorder="1" applyAlignment="1" applyProtection="1">
      <alignment horizontal="center" vertical="center"/>
      <protection locked="0"/>
    </xf>
    <xf numFmtId="0" fontId="16" fillId="0" borderId="28" xfId="14" applyFont="1" applyBorder="1" applyAlignment="1" applyProtection="1">
      <alignment vertical="center"/>
      <protection locked="0"/>
    </xf>
    <xf numFmtId="0" fontId="14" fillId="0" borderId="10" xfId="14" applyFont="1" applyBorder="1" applyAlignment="1" applyProtection="1">
      <alignment vertical="center"/>
      <protection locked="0"/>
    </xf>
    <xf numFmtId="0" fontId="14" fillId="0" borderId="3" xfId="14" applyFont="1" applyBorder="1" applyAlignment="1" applyProtection="1">
      <alignment vertical="center"/>
      <protection locked="0"/>
    </xf>
    <xf numFmtId="0" fontId="58" fillId="0" borderId="0" xfId="0" applyFont="1" applyFill="1" applyBorder="1" applyAlignment="1" applyProtection="1">
      <alignment horizontal="left" vertical="top"/>
      <protection locked="0"/>
    </xf>
    <xf numFmtId="0" fontId="56" fillId="0" borderId="11" xfId="0" applyFont="1" applyFill="1" applyBorder="1" applyAlignment="1" applyProtection="1">
      <alignment horizontal="left" vertical="center" wrapText="1"/>
      <protection locked="0"/>
    </xf>
    <xf numFmtId="0" fontId="56" fillId="0" borderId="3" xfId="0" applyFont="1" applyFill="1" applyBorder="1" applyAlignment="1" applyProtection="1">
      <alignment horizontal="left" vertical="center" wrapText="1"/>
      <protection locked="0"/>
    </xf>
    <xf numFmtId="0" fontId="60" fillId="0" borderId="3" xfId="0" applyFont="1" applyFill="1" applyBorder="1" applyAlignment="1" applyProtection="1">
      <alignment horizontal="left" wrapText="1"/>
      <protection locked="0"/>
    </xf>
    <xf numFmtId="168" fontId="16" fillId="0" borderId="6" xfId="0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27" fillId="0" borderId="0" xfId="0" applyFont="1" applyAlignment="1">
      <alignment wrapText="1"/>
    </xf>
    <xf numFmtId="4" fontId="16" fillId="0" borderId="0" xfId="0" applyNumberFormat="1" applyFont="1" applyBorder="1" applyAlignment="1">
      <alignment vertical="center"/>
    </xf>
    <xf numFmtId="0" fontId="27" fillId="0" borderId="0" xfId="10" applyFont="1" applyFill="1" applyAlignment="1">
      <alignment horizontal="left" vertical="center"/>
    </xf>
    <xf numFmtId="0" fontId="57" fillId="0" borderId="0" xfId="0" applyFont="1" applyFill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4" fillId="0" borderId="48" xfId="0" applyFont="1" applyFill="1" applyBorder="1" applyAlignment="1" applyProtection="1">
      <alignment horizontal="left" vertical="center" wrapText="1"/>
      <protection locked="0"/>
    </xf>
    <xf numFmtId="3" fontId="14" fillId="0" borderId="4" xfId="0" applyNumberFormat="1" applyFont="1" applyFill="1" applyBorder="1" applyAlignment="1">
      <alignment horizontal="center" vertical="center"/>
    </xf>
    <xf numFmtId="0" fontId="14" fillId="0" borderId="50" xfId="0" applyFont="1" applyFill="1" applyBorder="1" applyAlignment="1" applyProtection="1">
      <alignment horizontal="center" vertical="center" wrapText="1"/>
      <protection locked="0"/>
    </xf>
    <xf numFmtId="0" fontId="14" fillId="0" borderId="62" xfId="0" applyFont="1" applyFill="1" applyBorder="1" applyAlignment="1" applyProtection="1">
      <alignment horizontal="right" vertical="top" wrapText="1"/>
      <protection locked="0"/>
    </xf>
    <xf numFmtId="3" fontId="14" fillId="0" borderId="17" xfId="0" applyNumberFormat="1" applyFont="1" applyFill="1" applyBorder="1" applyAlignment="1">
      <alignment horizontal="center" vertical="center"/>
    </xf>
    <xf numFmtId="0" fontId="16" fillId="3" borderId="0" xfId="0" applyFont="1" applyFill="1" applyBorder="1" applyAlignment="1" applyProtection="1">
      <alignment vertical="center" wrapText="1"/>
      <protection locked="0"/>
    </xf>
    <xf numFmtId="0" fontId="14" fillId="3" borderId="0" xfId="0" applyFont="1" applyFill="1" applyBorder="1" applyAlignment="1" applyProtection="1">
      <alignment vertical="center"/>
      <protection locked="0"/>
    </xf>
    <xf numFmtId="0" fontId="14" fillId="0" borderId="53" xfId="0" applyFont="1" applyFill="1" applyBorder="1" applyAlignment="1" applyProtection="1">
      <alignment horizontal="right" vertical="top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54" fillId="0" borderId="3" xfId="0" applyFont="1" applyFill="1" applyBorder="1" applyAlignment="1" applyProtection="1">
      <alignment horizontal="left" wrapText="1"/>
      <protection locked="0"/>
    </xf>
    <xf numFmtId="0" fontId="17" fillId="0" borderId="25" xfId="37" applyFont="1" applyFill="1" applyBorder="1" applyAlignment="1">
      <alignment horizontal="center" vertical="center" wrapText="1"/>
    </xf>
    <xf numFmtId="0" fontId="54" fillId="0" borderId="32" xfId="0" applyFont="1" applyFill="1" applyBorder="1" applyAlignment="1" applyProtection="1">
      <alignment horizontal="left" wrapText="1"/>
      <protection locked="0"/>
    </xf>
    <xf numFmtId="3" fontId="14" fillId="0" borderId="47" xfId="0" applyNumberFormat="1" applyFont="1" applyFill="1" applyBorder="1" applyAlignment="1">
      <alignment horizontal="left" vertical="center"/>
    </xf>
    <xf numFmtId="0" fontId="14" fillId="0" borderId="7" xfId="0" applyFont="1" applyFill="1" applyBorder="1" applyAlignment="1" applyProtection="1">
      <alignment horizontal="left" vertical="center" wrapText="1"/>
      <protection locked="0"/>
    </xf>
    <xf numFmtId="2" fontId="14" fillId="0" borderId="7" xfId="0" applyNumberFormat="1" applyFont="1" applyFill="1" applyBorder="1" applyAlignment="1" applyProtection="1">
      <alignment horizontal="center" vertical="center"/>
      <protection locked="0"/>
    </xf>
    <xf numFmtId="0" fontId="14" fillId="0" borderId="23" xfId="0" applyFont="1" applyFill="1" applyBorder="1" applyAlignment="1">
      <alignment horizontal="left"/>
    </xf>
    <xf numFmtId="2" fontId="14" fillId="0" borderId="23" xfId="0" applyNumberFormat="1" applyFont="1" applyFill="1" applyBorder="1" applyAlignment="1" applyProtection="1">
      <alignment horizontal="center"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vertical="center"/>
      <protection locked="0"/>
    </xf>
    <xf numFmtId="3" fontId="14" fillId="0" borderId="38" xfId="0" applyNumberFormat="1" applyFont="1" applyFill="1" applyBorder="1" applyAlignment="1">
      <alignment horizontal="left" vertical="center"/>
    </xf>
    <xf numFmtId="0" fontId="14" fillId="0" borderId="38" xfId="0" applyFont="1" applyFill="1" applyBorder="1" applyAlignment="1" applyProtection="1">
      <alignment vertical="center"/>
      <protection locked="0"/>
    </xf>
    <xf numFmtId="0" fontId="16" fillId="0" borderId="23" xfId="0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horizontal="left" vertical="center" wrapText="1"/>
      <protection locked="0"/>
    </xf>
    <xf numFmtId="0" fontId="14" fillId="0" borderId="31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vertical="center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15" xfId="0" applyFont="1" applyFill="1" applyBorder="1" applyAlignment="1" applyProtection="1">
      <alignment horizontal="left" vertical="top" wrapText="1"/>
      <protection locked="0"/>
    </xf>
    <xf numFmtId="0" fontId="14" fillId="0" borderId="15" xfId="0" applyFont="1" applyFill="1" applyBorder="1" applyAlignment="1" applyProtection="1">
      <alignment horizontal="right" vertical="top" wrapText="1"/>
      <protection locked="0"/>
    </xf>
    <xf numFmtId="4" fontId="14" fillId="0" borderId="7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>
      <alignment horizontal="center" vertical="center"/>
    </xf>
    <xf numFmtId="0" fontId="14" fillId="0" borderId="15" xfId="0" applyFont="1" applyFill="1" applyBorder="1" applyAlignment="1" applyProtection="1">
      <alignment horizontal="right" vertical="center" wrapText="1"/>
      <protection locked="0"/>
    </xf>
    <xf numFmtId="0" fontId="43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62" xfId="0" applyFont="1" applyFill="1" applyBorder="1" applyAlignment="1" applyProtection="1">
      <alignment horizontal="right" vertical="center" wrapText="1"/>
      <protection locked="0"/>
    </xf>
    <xf numFmtId="0" fontId="9" fillId="0" borderId="48" xfId="0" applyFont="1" applyFill="1" applyBorder="1" applyAlignment="1" applyProtection="1">
      <alignment horizontal="left" vertical="top" wrapText="1"/>
      <protection locked="0"/>
    </xf>
    <xf numFmtId="4" fontId="10" fillId="0" borderId="23" xfId="0" applyNumberFormat="1" applyFont="1" applyFill="1" applyBorder="1" applyAlignment="1">
      <alignment horizontal="center" vertical="center"/>
    </xf>
    <xf numFmtId="4" fontId="9" fillId="0" borderId="23" xfId="0" applyNumberFormat="1" applyFont="1" applyFill="1" applyBorder="1" applyAlignment="1" applyProtection="1">
      <alignment vertical="center"/>
      <protection locked="0"/>
    </xf>
    <xf numFmtId="4" fontId="9" fillId="0" borderId="46" xfId="0" applyNumberFormat="1" applyFont="1" applyFill="1" applyBorder="1" applyAlignment="1" applyProtection="1">
      <alignment horizontal="center" vertical="center"/>
      <protection locked="0"/>
    </xf>
    <xf numFmtId="4" fontId="9" fillId="0" borderId="24" xfId="0" applyNumberFormat="1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 applyProtection="1">
      <alignment horizontal="left" vertical="top" wrapText="1"/>
      <protection locked="0"/>
    </xf>
    <xf numFmtId="0" fontId="10" fillId="0" borderId="4" xfId="0" applyFont="1" applyFill="1" applyBorder="1" applyAlignment="1" applyProtection="1">
      <alignment horizontal="left" vertical="top" wrapText="1"/>
      <protection locked="0"/>
    </xf>
    <xf numFmtId="4" fontId="9" fillId="0" borderId="4" xfId="0" applyNumberFormat="1" applyFont="1" applyFill="1" applyBorder="1" applyAlignment="1" applyProtection="1">
      <alignment vertical="center"/>
      <protection locked="0"/>
    </xf>
    <xf numFmtId="2" fontId="9" fillId="0" borderId="4" xfId="0" applyNumberFormat="1" applyFont="1" applyFill="1" applyBorder="1" applyAlignment="1" applyProtection="1">
      <alignment horizontal="center" vertical="center"/>
      <protection locked="0"/>
    </xf>
    <xf numFmtId="0" fontId="9" fillId="0" borderId="50" xfId="0" applyFont="1" applyFill="1" applyBorder="1" applyAlignment="1" applyProtection="1">
      <alignment vertical="center" wrapText="1"/>
      <protection locked="0"/>
    </xf>
    <xf numFmtId="0" fontId="9" fillId="0" borderId="37" xfId="0" applyFont="1" applyFill="1" applyBorder="1" applyAlignment="1" applyProtection="1">
      <alignment vertical="center" wrapText="1"/>
      <protection locked="0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3" fontId="9" fillId="0" borderId="4" xfId="0" applyNumberFormat="1" applyFont="1" applyFill="1" applyBorder="1" applyAlignment="1">
      <alignment horizontal="center" vertical="center"/>
    </xf>
    <xf numFmtId="0" fontId="10" fillId="0" borderId="50" xfId="0" applyFont="1" applyFill="1" applyBorder="1" applyAlignment="1" applyProtection="1">
      <alignment horizontal="left" vertical="center" wrapText="1"/>
      <protection locked="0"/>
    </xf>
    <xf numFmtId="2" fontId="9" fillId="0" borderId="50" xfId="0" applyNumberFormat="1" applyFont="1" applyFill="1" applyBorder="1" applyAlignment="1" applyProtection="1">
      <alignment horizontal="center" vertical="center"/>
      <protection locked="0"/>
    </xf>
    <xf numFmtId="0" fontId="9" fillId="0" borderId="62" xfId="0" applyFont="1" applyFill="1" applyBorder="1" applyAlignment="1" applyProtection="1">
      <alignment horizontal="right" vertical="center" wrapText="1"/>
      <protection locked="0"/>
    </xf>
    <xf numFmtId="0" fontId="9" fillId="0" borderId="17" xfId="0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 applyProtection="1">
      <alignment horizontal="left" vertical="center" wrapText="1"/>
      <protection locked="0"/>
    </xf>
    <xf numFmtId="2" fontId="9" fillId="0" borderId="17" xfId="0" applyNumberFormat="1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vertical="center"/>
      <protection locked="0"/>
    </xf>
    <xf numFmtId="0" fontId="9" fillId="0" borderId="44" xfId="0" applyFont="1" applyFill="1" applyBorder="1" applyAlignment="1" applyProtection="1">
      <alignment vertical="center"/>
      <protection locked="0"/>
    </xf>
    <xf numFmtId="0" fontId="17" fillId="0" borderId="15" xfId="37" applyFont="1" applyFill="1" applyBorder="1" applyAlignment="1">
      <alignment horizontal="center" vertical="center" wrapText="1"/>
    </xf>
    <xf numFmtId="0" fontId="14" fillId="0" borderId="39" xfId="0" applyFont="1" applyFill="1" applyBorder="1" applyAlignment="1">
      <alignment horizontal="center" vertical="center"/>
    </xf>
    <xf numFmtId="0" fontId="14" fillId="0" borderId="4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8" fillId="0" borderId="0" xfId="10" applyFont="1" applyFill="1" applyBorder="1" applyAlignment="1">
      <alignment horizontal="center" vertical="center" wrapText="1"/>
    </xf>
    <xf numFmtId="0" fontId="26" fillId="0" borderId="3" xfId="10" applyFont="1" applyFill="1" applyBorder="1" applyAlignment="1">
      <alignment horizontal="center" vertical="center" wrapText="1"/>
    </xf>
    <xf numFmtId="0" fontId="26" fillId="0" borderId="0" xfId="10" applyFont="1" applyFill="1" applyAlignment="1">
      <alignment horizontal="center" vertical="center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164" fontId="57" fillId="0" borderId="0" xfId="38" applyFont="1" applyFill="1" applyBorder="1" applyAlignment="1" applyProtection="1">
      <alignment horizontal="left" vertical="center" wrapText="1"/>
      <protection locked="0"/>
    </xf>
    <xf numFmtId="164" fontId="57" fillId="3" borderId="0" xfId="38" applyFont="1" applyFill="1" applyBorder="1" applyAlignment="1" applyProtection="1">
      <alignment horizontal="left" vertical="center" wrapText="1"/>
      <protection locked="0"/>
    </xf>
    <xf numFmtId="4" fontId="57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0" xfId="14" applyFont="1" applyFill="1" applyBorder="1" applyAlignment="1" applyProtection="1">
      <alignment horizontal="center" vertical="top" wrapText="1"/>
      <protection locked="0"/>
    </xf>
    <xf numFmtId="0" fontId="16" fillId="0" borderId="0" xfId="14" applyFont="1" applyFill="1" applyBorder="1" applyAlignment="1" applyProtection="1">
      <alignment horizontal="center" vertical="center" wrapText="1"/>
      <protection hidden="1"/>
    </xf>
    <xf numFmtId="3" fontId="14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Border="1" applyAlignment="1">
      <alignment horizontal="right" vertical="center" wrapText="1"/>
    </xf>
    <xf numFmtId="4" fontId="16" fillId="0" borderId="0" xfId="14" applyNumberFormat="1" applyFont="1" applyFill="1" applyBorder="1" applyAlignment="1">
      <alignment horizontal="right" vertical="center" wrapText="1"/>
    </xf>
    <xf numFmtId="4" fontId="14" fillId="0" borderId="0" xfId="14" applyNumberFormat="1" applyFont="1" applyFill="1" applyBorder="1" applyAlignment="1" applyProtection="1">
      <alignment vertical="center" wrapText="1"/>
      <protection locked="0"/>
    </xf>
    <xf numFmtId="4" fontId="57" fillId="0" borderId="0" xfId="14" applyNumberFormat="1" applyFont="1" applyFill="1" applyBorder="1" applyAlignment="1">
      <alignment horizontal="left" vertical="center" wrapText="1"/>
    </xf>
    <xf numFmtId="0" fontId="57" fillId="0" borderId="0" xfId="0" applyFont="1" applyBorder="1" applyAlignment="1" applyProtection="1">
      <alignment horizontal="left" vertical="center" wrapText="1"/>
      <protection locked="0"/>
    </xf>
    <xf numFmtId="2" fontId="63" fillId="0" borderId="0" xfId="0" applyNumberFormat="1" applyFont="1" applyFill="1" applyBorder="1" applyAlignment="1" applyProtection="1">
      <alignment horizontal="center" vertical="center"/>
      <protection locked="0"/>
    </xf>
    <xf numFmtId="2" fontId="16" fillId="0" borderId="23" xfId="38" applyNumberFormat="1" applyFont="1" applyFill="1" applyBorder="1" applyAlignment="1">
      <alignment horizontal="center" vertical="center"/>
    </xf>
    <xf numFmtId="168" fontId="16" fillId="0" borderId="23" xfId="14" applyNumberFormat="1" applyFont="1" applyFill="1" applyBorder="1" applyAlignment="1">
      <alignment horizontal="center" vertical="center"/>
    </xf>
    <xf numFmtId="168" fontId="16" fillId="0" borderId="3" xfId="14" applyNumberFormat="1" applyFont="1" applyFill="1" applyBorder="1" applyAlignment="1">
      <alignment horizontal="center" vertical="center"/>
    </xf>
    <xf numFmtId="169" fontId="16" fillId="0" borderId="38" xfId="14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168" fontId="16" fillId="0" borderId="0" xfId="0" applyNumberFormat="1" applyFont="1" applyFill="1" applyBorder="1" applyAlignment="1">
      <alignment horizontal="center" wrapText="1"/>
    </xf>
    <xf numFmtId="4" fontId="16" fillId="0" borderId="0" xfId="0" applyNumberFormat="1" applyFont="1" applyFill="1" applyBorder="1" applyAlignment="1">
      <alignment horizontal="center" wrapText="1"/>
    </xf>
    <xf numFmtId="0" fontId="16" fillId="0" borderId="23" xfId="14" applyFont="1" applyFill="1" applyBorder="1" applyAlignment="1" applyProtection="1">
      <alignment horizontal="left" vertical="center" wrapText="1"/>
      <protection locked="0"/>
    </xf>
    <xf numFmtId="2" fontId="14" fillId="0" borderId="23" xfId="14" applyNumberFormat="1" applyFont="1" applyFill="1" applyBorder="1" applyAlignment="1" applyProtection="1">
      <alignment horizontal="center" vertical="center"/>
      <protection locked="0"/>
    </xf>
    <xf numFmtId="0" fontId="16" fillId="0" borderId="17" xfId="0" applyFont="1" applyFill="1" applyBorder="1" applyAlignment="1" applyProtection="1">
      <alignment horizontal="left" vertical="center" wrapText="1"/>
      <protection locked="0"/>
    </xf>
    <xf numFmtId="0" fontId="16" fillId="0" borderId="7" xfId="0" applyFont="1" applyFill="1" applyBorder="1" applyAlignment="1" applyProtection="1">
      <alignment horizontal="left" vertical="center" wrapText="1"/>
      <protection locked="0"/>
    </xf>
    <xf numFmtId="0" fontId="10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20" xfId="14" applyFont="1" applyFill="1" applyBorder="1" applyAlignment="1" applyProtection="1">
      <alignment horizontal="center" vertical="center"/>
      <protection locked="0"/>
    </xf>
    <xf numFmtId="0" fontId="16" fillId="0" borderId="3" xfId="14" applyFont="1" applyFill="1" applyBorder="1" applyAlignment="1" applyProtection="1">
      <alignment horizontal="left" vertical="center" wrapText="1"/>
      <protection locked="0"/>
    </xf>
    <xf numFmtId="168" fontId="1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1" applyNumberFormat="1" applyFont="1" applyFill="1" applyBorder="1" applyAlignment="1">
      <alignment horizontal="center" vertical="center" wrapText="1"/>
    </xf>
    <xf numFmtId="2" fontId="14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4" fillId="0" borderId="21" xfId="14" applyFont="1" applyFill="1" applyBorder="1" applyAlignment="1" applyProtection="1">
      <alignment horizontal="center" vertical="center"/>
      <protection locked="0"/>
    </xf>
    <xf numFmtId="0" fontId="16" fillId="0" borderId="38" xfId="14" applyFont="1" applyFill="1" applyBorder="1" applyAlignment="1" applyProtection="1">
      <alignment horizontal="left" vertical="center" wrapText="1"/>
      <protection locked="0"/>
    </xf>
    <xf numFmtId="168" fontId="16" fillId="0" borderId="38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1" applyNumberFormat="1" applyFont="1" applyFill="1" applyBorder="1" applyAlignment="1">
      <alignment horizontal="center" vertical="center" wrapText="1"/>
    </xf>
    <xf numFmtId="0" fontId="44" fillId="0" borderId="0" xfId="12" applyFont="1" applyFill="1" applyBorder="1" applyAlignment="1" applyProtection="1">
      <alignment vertical="center"/>
      <protection locked="0"/>
    </xf>
    <xf numFmtId="0" fontId="44" fillId="0" borderId="0" xfId="36" applyFont="1" applyFill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2" fontId="17" fillId="0" borderId="3" xfId="10" applyNumberFormat="1" applyFont="1" applyFill="1" applyBorder="1" applyAlignment="1">
      <alignment horizontal="center" vertical="center"/>
    </xf>
    <xf numFmtId="2" fontId="14" fillId="0" borderId="3" xfId="0" applyNumberFormat="1" applyFont="1" applyFill="1" applyBorder="1" applyAlignment="1" applyProtection="1">
      <alignment vertical="center" wrapText="1"/>
      <protection locked="0"/>
    </xf>
    <xf numFmtId="0" fontId="14" fillId="0" borderId="0" xfId="14" applyFont="1" applyFill="1" applyBorder="1" applyAlignment="1" applyProtection="1">
      <alignment horizontal="right" vertical="center"/>
      <protection locked="0"/>
    </xf>
    <xf numFmtId="0" fontId="14" fillId="0" borderId="29" xfId="14" applyFont="1" applyFill="1" applyBorder="1" applyAlignment="1" applyProtection="1">
      <alignment vertical="center"/>
      <protection locked="0"/>
    </xf>
    <xf numFmtId="2" fontId="14" fillId="0" borderId="0" xfId="14" applyNumberFormat="1" applyFont="1" applyFill="1" applyBorder="1" applyAlignment="1" applyProtection="1">
      <alignment horizontal="center" vertical="center"/>
      <protection locked="0"/>
    </xf>
    <xf numFmtId="2" fontId="14" fillId="0" borderId="0" xfId="14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2" fontId="14" fillId="0" borderId="0" xfId="14" applyNumberFormat="1" applyFont="1" applyFill="1" applyBorder="1" applyAlignment="1" applyProtection="1">
      <alignment horizontal="left" vertical="center"/>
      <protection locked="0"/>
    </xf>
    <xf numFmtId="4" fontId="14" fillId="0" borderId="0" xfId="14" applyNumberFormat="1" applyFont="1" applyFill="1" applyBorder="1" applyAlignment="1" applyProtection="1">
      <alignment vertical="center"/>
      <protection locked="0"/>
    </xf>
    <xf numFmtId="171" fontId="14" fillId="0" borderId="6" xfId="14" applyNumberFormat="1" applyFont="1" applyFill="1" applyBorder="1" applyAlignment="1">
      <alignment horizontal="center" vertical="center" wrapText="1"/>
    </xf>
    <xf numFmtId="0" fontId="51" fillId="0" borderId="0" xfId="5" applyFont="1" applyAlignment="1">
      <alignment vertical="center" wrapText="1"/>
    </xf>
    <xf numFmtId="0" fontId="45" fillId="0" borderId="0" xfId="12" applyFont="1" applyBorder="1" applyAlignment="1" applyProtection="1">
      <alignment vertical="center" wrapText="1"/>
      <protection locked="0"/>
    </xf>
    <xf numFmtId="0" fontId="42" fillId="0" borderId="3" xfId="5" applyFont="1" applyBorder="1" applyAlignment="1">
      <alignment horizontal="center" vertical="center" wrapText="1"/>
    </xf>
    <xf numFmtId="0" fontId="45" fillId="0" borderId="3" xfId="5" applyFont="1" applyBorder="1" applyAlignment="1">
      <alignment vertical="center" wrapText="1"/>
    </xf>
    <xf numFmtId="0" fontId="44" fillId="0" borderId="3" xfId="3" quotePrefix="1" applyFont="1" applyBorder="1" applyAlignment="1">
      <alignment horizontal="center" vertical="center" wrapText="1"/>
    </xf>
    <xf numFmtId="165" fontId="45" fillId="0" borderId="3" xfId="5" applyNumberFormat="1" applyFont="1" applyBorder="1" applyAlignment="1">
      <alignment vertical="center" wrapText="1"/>
    </xf>
    <xf numFmtId="43" fontId="45" fillId="0" borderId="3" xfId="5" applyNumberFormat="1" applyFont="1" applyFill="1" applyBorder="1" applyAlignment="1">
      <alignment vertical="center" wrapText="1"/>
    </xf>
    <xf numFmtId="0" fontId="51" fillId="0" borderId="0" xfId="3" quotePrefix="1" applyFont="1" applyBorder="1" applyAlignment="1">
      <alignment horizontal="right" vertical="center" wrapText="1"/>
    </xf>
    <xf numFmtId="4" fontId="51" fillId="0" borderId="0" xfId="4" applyNumberFormat="1" applyFont="1" applyBorder="1" applyAlignment="1">
      <alignment horizontal="right" vertical="center" wrapText="1"/>
    </xf>
    <xf numFmtId="0" fontId="51" fillId="0" borderId="0" xfId="0" applyFont="1" applyBorder="1" applyAlignment="1">
      <alignment vertical="center" wrapText="1"/>
    </xf>
    <xf numFmtId="0" fontId="45" fillId="0" borderId="0" xfId="5" applyFont="1" applyFill="1" applyAlignment="1">
      <alignment vertical="center" wrapText="1"/>
    </xf>
    <xf numFmtId="4" fontId="45" fillId="0" borderId="0" xfId="5" applyNumberFormat="1" applyFont="1" applyFill="1" applyAlignment="1">
      <alignment vertical="center" wrapText="1"/>
    </xf>
    <xf numFmtId="0" fontId="45" fillId="0" borderId="0" xfId="5" applyFont="1" applyAlignment="1">
      <alignment vertical="center" wrapText="1"/>
    </xf>
    <xf numFmtId="0" fontId="51" fillId="0" borderId="0" xfId="3" quotePrefix="1" applyFont="1" applyBorder="1" applyAlignment="1">
      <alignment horizontal="left" vertical="center" wrapText="1"/>
    </xf>
    <xf numFmtId="0" fontId="51" fillId="0" borderId="0" xfId="5" applyFont="1" applyAlignment="1">
      <alignment horizontal="center" vertical="center"/>
    </xf>
    <xf numFmtId="2" fontId="51" fillId="0" borderId="0" xfId="12" applyNumberFormat="1" applyFont="1" applyBorder="1" applyAlignment="1" applyProtection="1">
      <alignment horizontal="center" vertical="center" wrapText="1"/>
      <protection locked="0"/>
    </xf>
    <xf numFmtId="0" fontId="42" fillId="0" borderId="7" xfId="5" applyFont="1" applyBorder="1" applyAlignment="1">
      <alignment horizontal="center" vertical="center" wrapText="1"/>
    </xf>
    <xf numFmtId="0" fontId="42" fillId="0" borderId="6" xfId="5" applyFont="1" applyBorder="1" applyAlignment="1">
      <alignment horizontal="center" vertical="center" wrapText="1"/>
    </xf>
    <xf numFmtId="0" fontId="42" fillId="0" borderId="3" xfId="5" applyFont="1" applyBorder="1" applyAlignment="1">
      <alignment horizontal="center" vertical="center"/>
    </xf>
    <xf numFmtId="0" fontId="45" fillId="0" borderId="3" xfId="5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left" wrapText="1"/>
    </xf>
    <xf numFmtId="0" fontId="22" fillId="0" borderId="42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left" wrapText="1"/>
    </xf>
    <xf numFmtId="0" fontId="22" fillId="0" borderId="1" xfId="14" applyFont="1" applyFill="1" applyBorder="1" applyAlignment="1">
      <alignment horizontal="left" vertical="center" wrapText="1"/>
    </xf>
    <xf numFmtId="0" fontId="22" fillId="0" borderId="42" xfId="14" applyFont="1" applyFill="1" applyBorder="1" applyAlignment="1">
      <alignment horizontal="left" vertical="center" wrapText="1"/>
    </xf>
    <xf numFmtId="0" fontId="22" fillId="0" borderId="2" xfId="14" applyFont="1" applyFill="1" applyBorder="1" applyAlignment="1">
      <alignment horizontal="left" vertical="center" wrapText="1"/>
    </xf>
    <xf numFmtId="0" fontId="22" fillId="0" borderId="1" xfId="14" applyFont="1" applyFill="1" applyBorder="1" applyAlignment="1" applyProtection="1">
      <alignment horizontal="left" vertical="center" wrapText="1"/>
      <protection locked="0"/>
    </xf>
    <xf numFmtId="0" fontId="22" fillId="0" borderId="42" xfId="14" applyFont="1" applyFill="1" applyBorder="1" applyAlignment="1" applyProtection="1">
      <alignment horizontal="left" vertical="center" wrapText="1"/>
      <protection locked="0"/>
    </xf>
    <xf numFmtId="0" fontId="22" fillId="0" borderId="2" xfId="14" applyFont="1" applyFill="1" applyBorder="1" applyAlignment="1" applyProtection="1">
      <alignment horizontal="left" vertical="center" wrapText="1"/>
      <protection locked="0"/>
    </xf>
    <xf numFmtId="0" fontId="57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4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52" xfId="0" applyFont="1" applyFill="1" applyBorder="1" applyAlignment="1">
      <alignment horizontal="center" vertical="center"/>
    </xf>
    <xf numFmtId="0" fontId="61" fillId="0" borderId="10" xfId="0" applyFont="1" applyFill="1" applyBorder="1" applyAlignment="1" applyProtection="1">
      <alignment horizontal="left" wrapText="1"/>
      <protection locked="0"/>
    </xf>
    <xf numFmtId="0" fontId="61" fillId="0" borderId="27" xfId="0" applyFont="1" applyFill="1" applyBorder="1" applyAlignment="1" applyProtection="1">
      <alignment horizontal="left" wrapText="1"/>
      <protection locked="0"/>
    </xf>
    <xf numFmtId="0" fontId="61" fillId="0" borderId="26" xfId="0" applyFont="1" applyFill="1" applyBorder="1" applyAlignment="1" applyProtection="1">
      <alignment horizontal="left" wrapText="1"/>
      <protection locked="0"/>
    </xf>
    <xf numFmtId="0" fontId="17" fillId="0" borderId="39" xfId="37" applyFont="1" applyFill="1" applyBorder="1" applyAlignment="1">
      <alignment horizontal="center" vertical="center" wrapText="1"/>
    </xf>
    <xf numFmtId="0" fontId="17" fillId="0" borderId="41" xfId="37" applyFont="1" applyFill="1" applyBorder="1" applyAlignment="1">
      <alignment horizontal="center" vertical="center" wrapText="1"/>
    </xf>
    <xf numFmtId="0" fontId="17" fillId="0" borderId="52" xfId="37" applyFont="1" applyFill="1" applyBorder="1" applyAlignment="1">
      <alignment horizontal="center" vertical="center" wrapText="1"/>
    </xf>
    <xf numFmtId="0" fontId="59" fillId="0" borderId="3" xfId="0" applyFont="1" applyFill="1" applyBorder="1" applyAlignment="1" applyProtection="1">
      <alignment horizontal="center" vertical="center"/>
      <protection locked="0"/>
    </xf>
    <xf numFmtId="0" fontId="55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4" applyFont="1" applyFill="1" applyBorder="1" applyAlignment="1">
      <alignment horizontal="center" vertical="center" wrapText="1"/>
    </xf>
    <xf numFmtId="0" fontId="14" fillId="0" borderId="27" xfId="14" applyFont="1" applyFill="1" applyBorder="1" applyAlignment="1">
      <alignment horizontal="center" vertical="center" wrapText="1"/>
    </xf>
    <xf numFmtId="0" fontId="14" fillId="0" borderId="26" xfId="14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top" wrapText="1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4" applyFont="1" applyFill="1" applyBorder="1" applyAlignment="1">
      <alignment horizontal="left" vertical="center"/>
    </xf>
    <xf numFmtId="0" fontId="16" fillId="0" borderId="27" xfId="14" applyFont="1" applyFill="1" applyBorder="1" applyAlignment="1">
      <alignment horizontal="left" vertical="center"/>
    </xf>
    <xf numFmtId="0" fontId="16" fillId="0" borderId="18" xfId="14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0" fontId="26" fillId="0" borderId="10" xfId="10" applyFont="1" applyFill="1" applyBorder="1" applyAlignment="1">
      <alignment horizontal="center" vertical="center" wrapText="1"/>
    </xf>
    <xf numFmtId="0" fontId="26" fillId="0" borderId="27" xfId="10" applyFont="1" applyFill="1" applyBorder="1" applyAlignment="1">
      <alignment horizontal="center" vertical="center" wrapText="1"/>
    </xf>
    <xf numFmtId="0" fontId="26" fillId="0" borderId="26" xfId="1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1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7" fillId="0" borderId="31" xfId="37" applyFont="1" applyFill="1" applyBorder="1" applyAlignment="1">
      <alignment horizontal="center" vertical="center" wrapText="1"/>
    </xf>
    <xf numFmtId="0" fontId="17" fillId="0" borderId="15" xfId="37" applyFont="1" applyFill="1" applyBorder="1" applyAlignment="1">
      <alignment horizontal="center" vertical="center" wrapText="1"/>
    </xf>
    <xf numFmtId="0" fontId="17" fillId="0" borderId="28" xfId="37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26" fillId="0" borderId="10" xfId="37" applyFont="1" applyFill="1" applyBorder="1" applyAlignment="1">
      <alignment horizontal="center" vertical="center" wrapText="1"/>
    </xf>
    <xf numFmtId="0" fontId="26" fillId="0" borderId="27" xfId="37" applyFont="1" applyFill="1" applyBorder="1" applyAlignment="1">
      <alignment horizontal="center" vertical="center" wrapText="1"/>
    </xf>
    <xf numFmtId="0" fontId="26" fillId="0" borderId="26" xfId="37" applyFont="1" applyFill="1" applyBorder="1" applyAlignment="1">
      <alignment horizontal="center" vertical="center" wrapText="1"/>
    </xf>
    <xf numFmtId="0" fontId="62" fillId="0" borderId="39" xfId="37" applyFont="1" applyFill="1" applyBorder="1" applyAlignment="1">
      <alignment horizontal="center" vertical="center" wrapText="1"/>
    </xf>
    <xf numFmtId="0" fontId="62" fillId="0" borderId="41" xfId="37" applyFont="1" applyFill="1" applyBorder="1" applyAlignment="1">
      <alignment horizontal="center" vertical="center" wrapText="1"/>
    </xf>
    <xf numFmtId="0" fontId="62" fillId="0" borderId="52" xfId="37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8" fillId="0" borderId="0" xfId="10" applyFont="1" applyFill="1" applyBorder="1" applyAlignment="1">
      <alignment horizontal="center" vertical="center" wrapText="1"/>
    </xf>
    <xf numFmtId="0" fontId="26" fillId="0" borderId="3" xfId="10" applyFont="1" applyFill="1" applyBorder="1" applyAlignment="1">
      <alignment horizontal="center" vertical="center" wrapText="1"/>
    </xf>
    <xf numFmtId="0" fontId="26" fillId="0" borderId="0" xfId="10" applyFont="1" applyFill="1" applyAlignment="1">
      <alignment horizontal="center" vertical="center"/>
    </xf>
    <xf numFmtId="0" fontId="14" fillId="0" borderId="0" xfId="14" applyFont="1" applyFill="1" applyBorder="1" applyAlignment="1" applyProtection="1">
      <alignment horizontal="left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4" fillId="0" borderId="58" xfId="14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3" fontId="14" fillId="0" borderId="6" xfId="14" applyNumberFormat="1" applyFont="1" applyFill="1" applyBorder="1" applyAlignment="1">
      <alignment horizontal="center" vertical="center" wrapText="1"/>
    </xf>
    <xf numFmtId="0" fontId="14" fillId="0" borderId="1" xfId="14" applyFont="1" applyFill="1" applyBorder="1" applyAlignment="1" applyProtection="1">
      <alignment horizontal="center" vertical="top" wrapText="1"/>
      <protection locked="0"/>
    </xf>
    <xf numFmtId="0" fontId="14" fillId="0" borderId="42" xfId="14" applyFont="1" applyFill="1" applyBorder="1" applyAlignment="1" applyProtection="1">
      <alignment horizontal="center" vertical="top" wrapText="1"/>
      <protection locked="0"/>
    </xf>
    <xf numFmtId="0" fontId="14" fillId="0" borderId="2" xfId="14" applyFont="1" applyFill="1" applyBorder="1" applyAlignment="1" applyProtection="1">
      <alignment horizontal="center" vertical="top" wrapText="1"/>
      <protection locked="0"/>
    </xf>
    <xf numFmtId="0" fontId="16" fillId="0" borderId="8" xfId="14" quotePrefix="1" applyFont="1" applyFill="1" applyBorder="1" applyAlignment="1" applyProtection="1">
      <alignment horizontal="center" vertical="center" wrapText="1"/>
      <protection hidden="1"/>
    </xf>
    <xf numFmtId="0" fontId="16" fillId="0" borderId="18" xfId="14" quotePrefix="1" applyFont="1" applyFill="1" applyBorder="1" applyAlignment="1" applyProtection="1">
      <alignment horizontal="center" vertical="center" wrapText="1"/>
      <protection hidden="1"/>
    </xf>
    <xf numFmtId="0" fontId="14" fillId="0" borderId="0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2" fontId="4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49" xfId="0" applyNumberFormat="1" applyFont="1" applyFill="1" applyBorder="1" applyAlignment="1" applyProtection="1">
      <alignment horizontal="center" vertical="center"/>
      <protection locked="0"/>
    </xf>
    <xf numFmtId="4" fontId="9" fillId="0" borderId="60" xfId="0" applyNumberFormat="1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4" xfId="0" applyNumberFormat="1" applyFont="1" applyFill="1" applyBorder="1" applyAlignment="1" applyProtection="1">
      <alignment horizontal="center" vertical="center" wrapText="1"/>
      <protection locked="0"/>
    </xf>
  </cellXfs>
  <cellStyles count="39">
    <cellStyle name=" 1" xfId="1"/>
    <cellStyle name=" 1 2" xfId="2"/>
    <cellStyle name="S13" xfId="3"/>
    <cellStyle name="S14" xfId="4"/>
    <cellStyle name="Гиперссылка" xfId="16" builtinId="8"/>
    <cellStyle name="Гиперссылка 2" xfId="23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0"/>
    <cellStyle name="Обычный 5 3" xfId="22"/>
    <cellStyle name="Обычный 5 3 2" xfId="31"/>
    <cellStyle name="Обычный 5 4" xfId="24"/>
    <cellStyle name="Обычный 5 4 2" xfId="32"/>
    <cellStyle name="Обычный 5 5" xfId="26"/>
    <cellStyle name="Обычный 5 5 2" xfId="34"/>
    <cellStyle name="Обычный 5 6" xfId="28"/>
    <cellStyle name="Обычный 6" xfId="17"/>
    <cellStyle name="Обычный 6 2" xfId="25"/>
    <cellStyle name="Обычный 6 2 2" xfId="33"/>
    <cellStyle name="Обычный 6 3" xfId="27"/>
    <cellStyle name="Обычный 6 3 2" xfId="35"/>
    <cellStyle name="Обычный 6 4" xfId="29"/>
    <cellStyle name="Обычный_SMETA_1" xfId="10"/>
    <cellStyle name="Обычный_SMETA_1 2" xfId="37"/>
    <cellStyle name="Обычный_дендрология 2009 и 2010 г." xfId="11"/>
    <cellStyle name="Обычный_Обследования НИИОСП 2" xfId="36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" xfId="38" builtinId="3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19</xdr:row>
      <xdr:rowOff>169334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3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31750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view="pageBreakPreview" zoomScale="70" zoomScaleNormal="100" zoomScaleSheetLayoutView="70" workbookViewId="0">
      <selection activeCell="D32" sqref="D32"/>
    </sheetView>
  </sheetViews>
  <sheetFormatPr defaultColWidth="9.140625" defaultRowHeight="15.75" x14ac:dyDescent="0.2"/>
  <cols>
    <col min="1" max="1" width="4.7109375" style="369" customWidth="1"/>
    <col min="2" max="2" width="44.85546875" style="369" customWidth="1"/>
    <col min="3" max="3" width="14.5703125" style="370" customWidth="1"/>
    <col min="4" max="4" width="16.28515625" style="369" customWidth="1"/>
    <col min="5" max="5" width="38.7109375" style="708" customWidth="1"/>
    <col min="6" max="6" width="12.7109375" style="369" customWidth="1"/>
    <col min="7" max="7" width="17.42578125" style="369" customWidth="1"/>
    <col min="8" max="8" width="11.28515625" style="369" bestFit="1" customWidth="1"/>
    <col min="9" max="256" width="9.140625" style="369"/>
    <col min="257" max="257" width="4.7109375" style="369" customWidth="1"/>
    <col min="258" max="258" width="44.85546875" style="369" customWidth="1"/>
    <col min="259" max="259" width="14.5703125" style="369" customWidth="1"/>
    <col min="260" max="260" width="16.28515625" style="369" customWidth="1"/>
    <col min="261" max="261" width="38.7109375" style="369" customWidth="1"/>
    <col min="262" max="262" width="12.7109375" style="369" customWidth="1"/>
    <col min="263" max="263" width="17.42578125" style="369" customWidth="1"/>
    <col min="264" max="264" width="11.28515625" style="369" bestFit="1" customWidth="1"/>
    <col min="265" max="512" width="9.140625" style="369"/>
    <col min="513" max="513" width="4.7109375" style="369" customWidth="1"/>
    <col min="514" max="514" width="44.85546875" style="369" customWidth="1"/>
    <col min="515" max="515" width="14.5703125" style="369" customWidth="1"/>
    <col min="516" max="516" width="16.28515625" style="369" customWidth="1"/>
    <col min="517" max="517" width="38.7109375" style="369" customWidth="1"/>
    <col min="518" max="518" width="12.7109375" style="369" customWidth="1"/>
    <col min="519" max="519" width="17.42578125" style="369" customWidth="1"/>
    <col min="520" max="520" width="11.28515625" style="369" bestFit="1" customWidth="1"/>
    <col min="521" max="768" width="9.140625" style="369"/>
    <col min="769" max="769" width="4.7109375" style="369" customWidth="1"/>
    <col min="770" max="770" width="44.85546875" style="369" customWidth="1"/>
    <col min="771" max="771" width="14.5703125" style="369" customWidth="1"/>
    <col min="772" max="772" width="16.28515625" style="369" customWidth="1"/>
    <col min="773" max="773" width="38.7109375" style="369" customWidth="1"/>
    <col min="774" max="774" width="12.7109375" style="369" customWidth="1"/>
    <col min="775" max="775" width="17.42578125" style="369" customWidth="1"/>
    <col min="776" max="776" width="11.28515625" style="369" bestFit="1" customWidth="1"/>
    <col min="777" max="1024" width="9.140625" style="369"/>
    <col min="1025" max="1025" width="4.7109375" style="369" customWidth="1"/>
    <col min="1026" max="1026" width="44.85546875" style="369" customWidth="1"/>
    <col min="1027" max="1027" width="14.5703125" style="369" customWidth="1"/>
    <col min="1028" max="1028" width="16.28515625" style="369" customWidth="1"/>
    <col min="1029" max="1029" width="38.7109375" style="369" customWidth="1"/>
    <col min="1030" max="1030" width="12.7109375" style="369" customWidth="1"/>
    <col min="1031" max="1031" width="17.42578125" style="369" customWidth="1"/>
    <col min="1032" max="1032" width="11.28515625" style="369" bestFit="1" customWidth="1"/>
    <col min="1033" max="1280" width="9.140625" style="369"/>
    <col min="1281" max="1281" width="4.7109375" style="369" customWidth="1"/>
    <col min="1282" max="1282" width="44.85546875" style="369" customWidth="1"/>
    <col min="1283" max="1283" width="14.5703125" style="369" customWidth="1"/>
    <col min="1284" max="1284" width="16.28515625" style="369" customWidth="1"/>
    <col min="1285" max="1285" width="38.7109375" style="369" customWidth="1"/>
    <col min="1286" max="1286" width="12.7109375" style="369" customWidth="1"/>
    <col min="1287" max="1287" width="17.42578125" style="369" customWidth="1"/>
    <col min="1288" max="1288" width="11.28515625" style="369" bestFit="1" customWidth="1"/>
    <col min="1289" max="1536" width="9.140625" style="369"/>
    <col min="1537" max="1537" width="4.7109375" style="369" customWidth="1"/>
    <col min="1538" max="1538" width="44.85546875" style="369" customWidth="1"/>
    <col min="1539" max="1539" width="14.5703125" style="369" customWidth="1"/>
    <col min="1540" max="1540" width="16.28515625" style="369" customWidth="1"/>
    <col min="1541" max="1541" width="38.7109375" style="369" customWidth="1"/>
    <col min="1542" max="1542" width="12.7109375" style="369" customWidth="1"/>
    <col min="1543" max="1543" width="17.42578125" style="369" customWidth="1"/>
    <col min="1544" max="1544" width="11.28515625" style="369" bestFit="1" customWidth="1"/>
    <col min="1545" max="1792" width="9.140625" style="369"/>
    <col min="1793" max="1793" width="4.7109375" style="369" customWidth="1"/>
    <col min="1794" max="1794" width="44.85546875" style="369" customWidth="1"/>
    <col min="1795" max="1795" width="14.5703125" style="369" customWidth="1"/>
    <col min="1796" max="1796" width="16.28515625" style="369" customWidth="1"/>
    <col min="1797" max="1797" width="38.7109375" style="369" customWidth="1"/>
    <col min="1798" max="1798" width="12.7109375" style="369" customWidth="1"/>
    <col min="1799" max="1799" width="17.42578125" style="369" customWidth="1"/>
    <col min="1800" max="1800" width="11.28515625" style="369" bestFit="1" customWidth="1"/>
    <col min="1801" max="2048" width="9.140625" style="369"/>
    <col min="2049" max="2049" width="4.7109375" style="369" customWidth="1"/>
    <col min="2050" max="2050" width="44.85546875" style="369" customWidth="1"/>
    <col min="2051" max="2051" width="14.5703125" style="369" customWidth="1"/>
    <col min="2052" max="2052" width="16.28515625" style="369" customWidth="1"/>
    <col min="2053" max="2053" width="38.7109375" style="369" customWidth="1"/>
    <col min="2054" max="2054" width="12.7109375" style="369" customWidth="1"/>
    <col min="2055" max="2055" width="17.42578125" style="369" customWidth="1"/>
    <col min="2056" max="2056" width="11.28515625" style="369" bestFit="1" customWidth="1"/>
    <col min="2057" max="2304" width="9.140625" style="369"/>
    <col min="2305" max="2305" width="4.7109375" style="369" customWidth="1"/>
    <col min="2306" max="2306" width="44.85546875" style="369" customWidth="1"/>
    <col min="2307" max="2307" width="14.5703125" style="369" customWidth="1"/>
    <col min="2308" max="2308" width="16.28515625" style="369" customWidth="1"/>
    <col min="2309" max="2309" width="38.7109375" style="369" customWidth="1"/>
    <col min="2310" max="2310" width="12.7109375" style="369" customWidth="1"/>
    <col min="2311" max="2311" width="17.42578125" style="369" customWidth="1"/>
    <col min="2312" max="2312" width="11.28515625" style="369" bestFit="1" customWidth="1"/>
    <col min="2313" max="2560" width="9.140625" style="369"/>
    <col min="2561" max="2561" width="4.7109375" style="369" customWidth="1"/>
    <col min="2562" max="2562" width="44.85546875" style="369" customWidth="1"/>
    <col min="2563" max="2563" width="14.5703125" style="369" customWidth="1"/>
    <col min="2564" max="2564" width="16.28515625" style="369" customWidth="1"/>
    <col min="2565" max="2565" width="38.7109375" style="369" customWidth="1"/>
    <col min="2566" max="2566" width="12.7109375" style="369" customWidth="1"/>
    <col min="2567" max="2567" width="17.42578125" style="369" customWidth="1"/>
    <col min="2568" max="2568" width="11.28515625" style="369" bestFit="1" customWidth="1"/>
    <col min="2569" max="2816" width="9.140625" style="369"/>
    <col min="2817" max="2817" width="4.7109375" style="369" customWidth="1"/>
    <col min="2818" max="2818" width="44.85546875" style="369" customWidth="1"/>
    <col min="2819" max="2819" width="14.5703125" style="369" customWidth="1"/>
    <col min="2820" max="2820" width="16.28515625" style="369" customWidth="1"/>
    <col min="2821" max="2821" width="38.7109375" style="369" customWidth="1"/>
    <col min="2822" max="2822" width="12.7109375" style="369" customWidth="1"/>
    <col min="2823" max="2823" width="17.42578125" style="369" customWidth="1"/>
    <col min="2824" max="2824" width="11.28515625" style="369" bestFit="1" customWidth="1"/>
    <col min="2825" max="3072" width="9.140625" style="369"/>
    <col min="3073" max="3073" width="4.7109375" style="369" customWidth="1"/>
    <col min="3074" max="3074" width="44.85546875" style="369" customWidth="1"/>
    <col min="3075" max="3075" width="14.5703125" style="369" customWidth="1"/>
    <col min="3076" max="3076" width="16.28515625" style="369" customWidth="1"/>
    <col min="3077" max="3077" width="38.7109375" style="369" customWidth="1"/>
    <col min="3078" max="3078" width="12.7109375" style="369" customWidth="1"/>
    <col min="3079" max="3079" width="17.42578125" style="369" customWidth="1"/>
    <col min="3080" max="3080" width="11.28515625" style="369" bestFit="1" customWidth="1"/>
    <col min="3081" max="3328" width="9.140625" style="369"/>
    <col min="3329" max="3329" width="4.7109375" style="369" customWidth="1"/>
    <col min="3330" max="3330" width="44.85546875" style="369" customWidth="1"/>
    <col min="3331" max="3331" width="14.5703125" style="369" customWidth="1"/>
    <col min="3332" max="3332" width="16.28515625" style="369" customWidth="1"/>
    <col min="3333" max="3333" width="38.7109375" style="369" customWidth="1"/>
    <col min="3334" max="3334" width="12.7109375" style="369" customWidth="1"/>
    <col min="3335" max="3335" width="17.42578125" style="369" customWidth="1"/>
    <col min="3336" max="3336" width="11.28515625" style="369" bestFit="1" customWidth="1"/>
    <col min="3337" max="3584" width="9.140625" style="369"/>
    <col min="3585" max="3585" width="4.7109375" style="369" customWidth="1"/>
    <col min="3586" max="3586" width="44.85546875" style="369" customWidth="1"/>
    <col min="3587" max="3587" width="14.5703125" style="369" customWidth="1"/>
    <col min="3588" max="3588" width="16.28515625" style="369" customWidth="1"/>
    <col min="3589" max="3589" width="38.7109375" style="369" customWidth="1"/>
    <col min="3590" max="3590" width="12.7109375" style="369" customWidth="1"/>
    <col min="3591" max="3591" width="17.42578125" style="369" customWidth="1"/>
    <col min="3592" max="3592" width="11.28515625" style="369" bestFit="1" customWidth="1"/>
    <col min="3593" max="3840" width="9.140625" style="369"/>
    <col min="3841" max="3841" width="4.7109375" style="369" customWidth="1"/>
    <col min="3842" max="3842" width="44.85546875" style="369" customWidth="1"/>
    <col min="3843" max="3843" width="14.5703125" style="369" customWidth="1"/>
    <col min="3844" max="3844" width="16.28515625" style="369" customWidth="1"/>
    <col min="3845" max="3845" width="38.7109375" style="369" customWidth="1"/>
    <col min="3846" max="3846" width="12.7109375" style="369" customWidth="1"/>
    <col min="3847" max="3847" width="17.42578125" style="369" customWidth="1"/>
    <col min="3848" max="3848" width="11.28515625" style="369" bestFit="1" customWidth="1"/>
    <col min="3849" max="4096" width="9.140625" style="369"/>
    <col min="4097" max="4097" width="4.7109375" style="369" customWidth="1"/>
    <col min="4098" max="4098" width="44.85546875" style="369" customWidth="1"/>
    <col min="4099" max="4099" width="14.5703125" style="369" customWidth="1"/>
    <col min="4100" max="4100" width="16.28515625" style="369" customWidth="1"/>
    <col min="4101" max="4101" width="38.7109375" style="369" customWidth="1"/>
    <col min="4102" max="4102" width="12.7109375" style="369" customWidth="1"/>
    <col min="4103" max="4103" width="17.42578125" style="369" customWidth="1"/>
    <col min="4104" max="4104" width="11.28515625" style="369" bestFit="1" customWidth="1"/>
    <col min="4105" max="4352" width="9.140625" style="369"/>
    <col min="4353" max="4353" width="4.7109375" style="369" customWidth="1"/>
    <col min="4354" max="4354" width="44.85546875" style="369" customWidth="1"/>
    <col min="4355" max="4355" width="14.5703125" style="369" customWidth="1"/>
    <col min="4356" max="4356" width="16.28515625" style="369" customWidth="1"/>
    <col min="4357" max="4357" width="38.7109375" style="369" customWidth="1"/>
    <col min="4358" max="4358" width="12.7109375" style="369" customWidth="1"/>
    <col min="4359" max="4359" width="17.42578125" style="369" customWidth="1"/>
    <col min="4360" max="4360" width="11.28515625" style="369" bestFit="1" customWidth="1"/>
    <col min="4361" max="4608" width="9.140625" style="369"/>
    <col min="4609" max="4609" width="4.7109375" style="369" customWidth="1"/>
    <col min="4610" max="4610" width="44.85546875" style="369" customWidth="1"/>
    <col min="4611" max="4611" width="14.5703125" style="369" customWidth="1"/>
    <col min="4612" max="4612" width="16.28515625" style="369" customWidth="1"/>
    <col min="4613" max="4613" width="38.7109375" style="369" customWidth="1"/>
    <col min="4614" max="4614" width="12.7109375" style="369" customWidth="1"/>
    <col min="4615" max="4615" width="17.42578125" style="369" customWidth="1"/>
    <col min="4616" max="4616" width="11.28515625" style="369" bestFit="1" customWidth="1"/>
    <col min="4617" max="4864" width="9.140625" style="369"/>
    <col min="4865" max="4865" width="4.7109375" style="369" customWidth="1"/>
    <col min="4866" max="4866" width="44.85546875" style="369" customWidth="1"/>
    <col min="4867" max="4867" width="14.5703125" style="369" customWidth="1"/>
    <col min="4868" max="4868" width="16.28515625" style="369" customWidth="1"/>
    <col min="4869" max="4869" width="38.7109375" style="369" customWidth="1"/>
    <col min="4870" max="4870" width="12.7109375" style="369" customWidth="1"/>
    <col min="4871" max="4871" width="17.42578125" style="369" customWidth="1"/>
    <col min="4872" max="4872" width="11.28515625" style="369" bestFit="1" customWidth="1"/>
    <col min="4873" max="5120" width="9.140625" style="369"/>
    <col min="5121" max="5121" width="4.7109375" style="369" customWidth="1"/>
    <col min="5122" max="5122" width="44.85546875" style="369" customWidth="1"/>
    <col min="5123" max="5123" width="14.5703125" style="369" customWidth="1"/>
    <col min="5124" max="5124" width="16.28515625" style="369" customWidth="1"/>
    <col min="5125" max="5125" width="38.7109375" style="369" customWidth="1"/>
    <col min="5126" max="5126" width="12.7109375" style="369" customWidth="1"/>
    <col min="5127" max="5127" width="17.42578125" style="369" customWidth="1"/>
    <col min="5128" max="5128" width="11.28515625" style="369" bestFit="1" customWidth="1"/>
    <col min="5129" max="5376" width="9.140625" style="369"/>
    <col min="5377" max="5377" width="4.7109375" style="369" customWidth="1"/>
    <col min="5378" max="5378" width="44.85546875" style="369" customWidth="1"/>
    <col min="5379" max="5379" width="14.5703125" style="369" customWidth="1"/>
    <col min="5380" max="5380" width="16.28515625" style="369" customWidth="1"/>
    <col min="5381" max="5381" width="38.7109375" style="369" customWidth="1"/>
    <col min="5382" max="5382" width="12.7109375" style="369" customWidth="1"/>
    <col min="5383" max="5383" width="17.42578125" style="369" customWidth="1"/>
    <col min="5384" max="5384" width="11.28515625" style="369" bestFit="1" customWidth="1"/>
    <col min="5385" max="5632" width="9.140625" style="369"/>
    <col min="5633" max="5633" width="4.7109375" style="369" customWidth="1"/>
    <col min="5634" max="5634" width="44.85546875" style="369" customWidth="1"/>
    <col min="5635" max="5635" width="14.5703125" style="369" customWidth="1"/>
    <col min="5636" max="5636" width="16.28515625" style="369" customWidth="1"/>
    <col min="5637" max="5637" width="38.7109375" style="369" customWidth="1"/>
    <col min="5638" max="5638" width="12.7109375" style="369" customWidth="1"/>
    <col min="5639" max="5639" width="17.42578125" style="369" customWidth="1"/>
    <col min="5640" max="5640" width="11.28515625" style="369" bestFit="1" customWidth="1"/>
    <col min="5641" max="5888" width="9.140625" style="369"/>
    <col min="5889" max="5889" width="4.7109375" style="369" customWidth="1"/>
    <col min="5890" max="5890" width="44.85546875" style="369" customWidth="1"/>
    <col min="5891" max="5891" width="14.5703125" style="369" customWidth="1"/>
    <col min="5892" max="5892" width="16.28515625" style="369" customWidth="1"/>
    <col min="5893" max="5893" width="38.7109375" style="369" customWidth="1"/>
    <col min="5894" max="5894" width="12.7109375" style="369" customWidth="1"/>
    <col min="5895" max="5895" width="17.42578125" style="369" customWidth="1"/>
    <col min="5896" max="5896" width="11.28515625" style="369" bestFit="1" customWidth="1"/>
    <col min="5897" max="6144" width="9.140625" style="369"/>
    <col min="6145" max="6145" width="4.7109375" style="369" customWidth="1"/>
    <col min="6146" max="6146" width="44.85546875" style="369" customWidth="1"/>
    <col min="6147" max="6147" width="14.5703125" style="369" customWidth="1"/>
    <col min="6148" max="6148" width="16.28515625" style="369" customWidth="1"/>
    <col min="6149" max="6149" width="38.7109375" style="369" customWidth="1"/>
    <col min="6150" max="6150" width="12.7109375" style="369" customWidth="1"/>
    <col min="6151" max="6151" width="17.42578125" style="369" customWidth="1"/>
    <col min="6152" max="6152" width="11.28515625" style="369" bestFit="1" customWidth="1"/>
    <col min="6153" max="6400" width="9.140625" style="369"/>
    <col min="6401" max="6401" width="4.7109375" style="369" customWidth="1"/>
    <col min="6402" max="6402" width="44.85546875" style="369" customWidth="1"/>
    <col min="6403" max="6403" width="14.5703125" style="369" customWidth="1"/>
    <col min="6404" max="6404" width="16.28515625" style="369" customWidth="1"/>
    <col min="6405" max="6405" width="38.7109375" style="369" customWidth="1"/>
    <col min="6406" max="6406" width="12.7109375" style="369" customWidth="1"/>
    <col min="6407" max="6407" width="17.42578125" style="369" customWidth="1"/>
    <col min="6408" max="6408" width="11.28515625" style="369" bestFit="1" customWidth="1"/>
    <col min="6409" max="6656" width="9.140625" style="369"/>
    <col min="6657" max="6657" width="4.7109375" style="369" customWidth="1"/>
    <col min="6658" max="6658" width="44.85546875" style="369" customWidth="1"/>
    <col min="6659" max="6659" width="14.5703125" style="369" customWidth="1"/>
    <col min="6660" max="6660" width="16.28515625" style="369" customWidth="1"/>
    <col min="6661" max="6661" width="38.7109375" style="369" customWidth="1"/>
    <col min="6662" max="6662" width="12.7109375" style="369" customWidth="1"/>
    <col min="6663" max="6663" width="17.42578125" style="369" customWidth="1"/>
    <col min="6664" max="6664" width="11.28515625" style="369" bestFit="1" customWidth="1"/>
    <col min="6665" max="6912" width="9.140625" style="369"/>
    <col min="6913" max="6913" width="4.7109375" style="369" customWidth="1"/>
    <col min="6914" max="6914" width="44.85546875" style="369" customWidth="1"/>
    <col min="6915" max="6915" width="14.5703125" style="369" customWidth="1"/>
    <col min="6916" max="6916" width="16.28515625" style="369" customWidth="1"/>
    <col min="6917" max="6917" width="38.7109375" style="369" customWidth="1"/>
    <col min="6918" max="6918" width="12.7109375" style="369" customWidth="1"/>
    <col min="6919" max="6919" width="17.42578125" style="369" customWidth="1"/>
    <col min="6920" max="6920" width="11.28515625" style="369" bestFit="1" customWidth="1"/>
    <col min="6921" max="7168" width="9.140625" style="369"/>
    <col min="7169" max="7169" width="4.7109375" style="369" customWidth="1"/>
    <col min="7170" max="7170" width="44.85546875" style="369" customWidth="1"/>
    <col min="7171" max="7171" width="14.5703125" style="369" customWidth="1"/>
    <col min="7172" max="7172" width="16.28515625" style="369" customWidth="1"/>
    <col min="7173" max="7173" width="38.7109375" style="369" customWidth="1"/>
    <col min="7174" max="7174" width="12.7109375" style="369" customWidth="1"/>
    <col min="7175" max="7175" width="17.42578125" style="369" customWidth="1"/>
    <col min="7176" max="7176" width="11.28515625" style="369" bestFit="1" customWidth="1"/>
    <col min="7177" max="7424" width="9.140625" style="369"/>
    <col min="7425" max="7425" width="4.7109375" style="369" customWidth="1"/>
    <col min="7426" max="7426" width="44.85546875" style="369" customWidth="1"/>
    <col min="7427" max="7427" width="14.5703125" style="369" customWidth="1"/>
    <col min="7428" max="7428" width="16.28515625" style="369" customWidth="1"/>
    <col min="7429" max="7429" width="38.7109375" style="369" customWidth="1"/>
    <col min="7430" max="7430" width="12.7109375" style="369" customWidth="1"/>
    <col min="7431" max="7431" width="17.42578125" style="369" customWidth="1"/>
    <col min="7432" max="7432" width="11.28515625" style="369" bestFit="1" customWidth="1"/>
    <col min="7433" max="7680" width="9.140625" style="369"/>
    <col min="7681" max="7681" width="4.7109375" style="369" customWidth="1"/>
    <col min="7682" max="7682" width="44.85546875" style="369" customWidth="1"/>
    <col min="7683" max="7683" width="14.5703125" style="369" customWidth="1"/>
    <col min="7684" max="7684" width="16.28515625" style="369" customWidth="1"/>
    <col min="7685" max="7685" width="38.7109375" style="369" customWidth="1"/>
    <col min="7686" max="7686" width="12.7109375" style="369" customWidth="1"/>
    <col min="7687" max="7687" width="17.42578125" style="369" customWidth="1"/>
    <col min="7688" max="7688" width="11.28515625" style="369" bestFit="1" customWidth="1"/>
    <col min="7689" max="7936" width="9.140625" style="369"/>
    <col min="7937" max="7937" width="4.7109375" style="369" customWidth="1"/>
    <col min="7938" max="7938" width="44.85546875" style="369" customWidth="1"/>
    <col min="7939" max="7939" width="14.5703125" style="369" customWidth="1"/>
    <col min="7940" max="7940" width="16.28515625" style="369" customWidth="1"/>
    <col min="7941" max="7941" width="38.7109375" style="369" customWidth="1"/>
    <col min="7942" max="7942" width="12.7109375" style="369" customWidth="1"/>
    <col min="7943" max="7943" width="17.42578125" style="369" customWidth="1"/>
    <col min="7944" max="7944" width="11.28515625" style="369" bestFit="1" customWidth="1"/>
    <col min="7945" max="8192" width="9.140625" style="369"/>
    <col min="8193" max="8193" width="4.7109375" style="369" customWidth="1"/>
    <col min="8194" max="8194" width="44.85546875" style="369" customWidth="1"/>
    <col min="8195" max="8195" width="14.5703125" style="369" customWidth="1"/>
    <col min="8196" max="8196" width="16.28515625" style="369" customWidth="1"/>
    <col min="8197" max="8197" width="38.7109375" style="369" customWidth="1"/>
    <col min="8198" max="8198" width="12.7109375" style="369" customWidth="1"/>
    <col min="8199" max="8199" width="17.42578125" style="369" customWidth="1"/>
    <col min="8200" max="8200" width="11.28515625" style="369" bestFit="1" customWidth="1"/>
    <col min="8201" max="8448" width="9.140625" style="369"/>
    <col min="8449" max="8449" width="4.7109375" style="369" customWidth="1"/>
    <col min="8450" max="8450" width="44.85546875" style="369" customWidth="1"/>
    <col min="8451" max="8451" width="14.5703125" style="369" customWidth="1"/>
    <col min="8452" max="8452" width="16.28515625" style="369" customWidth="1"/>
    <col min="8453" max="8453" width="38.7109375" style="369" customWidth="1"/>
    <col min="8454" max="8454" width="12.7109375" style="369" customWidth="1"/>
    <col min="8455" max="8455" width="17.42578125" style="369" customWidth="1"/>
    <col min="8456" max="8456" width="11.28515625" style="369" bestFit="1" customWidth="1"/>
    <col min="8457" max="8704" width="9.140625" style="369"/>
    <col min="8705" max="8705" width="4.7109375" style="369" customWidth="1"/>
    <col min="8706" max="8706" width="44.85546875" style="369" customWidth="1"/>
    <col min="8707" max="8707" width="14.5703125" style="369" customWidth="1"/>
    <col min="8708" max="8708" width="16.28515625" style="369" customWidth="1"/>
    <col min="8709" max="8709" width="38.7109375" style="369" customWidth="1"/>
    <col min="8710" max="8710" width="12.7109375" style="369" customWidth="1"/>
    <col min="8711" max="8711" width="17.42578125" style="369" customWidth="1"/>
    <col min="8712" max="8712" width="11.28515625" style="369" bestFit="1" customWidth="1"/>
    <col min="8713" max="8960" width="9.140625" style="369"/>
    <col min="8961" max="8961" width="4.7109375" style="369" customWidth="1"/>
    <col min="8962" max="8962" width="44.85546875" style="369" customWidth="1"/>
    <col min="8963" max="8963" width="14.5703125" style="369" customWidth="1"/>
    <col min="8964" max="8964" width="16.28515625" style="369" customWidth="1"/>
    <col min="8965" max="8965" width="38.7109375" style="369" customWidth="1"/>
    <col min="8966" max="8966" width="12.7109375" style="369" customWidth="1"/>
    <col min="8967" max="8967" width="17.42578125" style="369" customWidth="1"/>
    <col min="8968" max="8968" width="11.28515625" style="369" bestFit="1" customWidth="1"/>
    <col min="8969" max="9216" width="9.140625" style="369"/>
    <col min="9217" max="9217" width="4.7109375" style="369" customWidth="1"/>
    <col min="9218" max="9218" width="44.85546875" style="369" customWidth="1"/>
    <col min="9219" max="9219" width="14.5703125" style="369" customWidth="1"/>
    <col min="9220" max="9220" width="16.28515625" style="369" customWidth="1"/>
    <col min="9221" max="9221" width="38.7109375" style="369" customWidth="1"/>
    <col min="9222" max="9222" width="12.7109375" style="369" customWidth="1"/>
    <col min="9223" max="9223" width="17.42578125" style="369" customWidth="1"/>
    <col min="9224" max="9224" width="11.28515625" style="369" bestFit="1" customWidth="1"/>
    <col min="9225" max="9472" width="9.140625" style="369"/>
    <col min="9473" max="9473" width="4.7109375" style="369" customWidth="1"/>
    <col min="9474" max="9474" width="44.85546875" style="369" customWidth="1"/>
    <col min="9475" max="9475" width="14.5703125" style="369" customWidth="1"/>
    <col min="9476" max="9476" width="16.28515625" style="369" customWidth="1"/>
    <col min="9477" max="9477" width="38.7109375" style="369" customWidth="1"/>
    <col min="9478" max="9478" width="12.7109375" style="369" customWidth="1"/>
    <col min="9479" max="9479" width="17.42578125" style="369" customWidth="1"/>
    <col min="9480" max="9480" width="11.28515625" style="369" bestFit="1" customWidth="1"/>
    <col min="9481" max="9728" width="9.140625" style="369"/>
    <col min="9729" max="9729" width="4.7109375" style="369" customWidth="1"/>
    <col min="9730" max="9730" width="44.85546875" style="369" customWidth="1"/>
    <col min="9731" max="9731" width="14.5703125" style="369" customWidth="1"/>
    <col min="9732" max="9732" width="16.28515625" style="369" customWidth="1"/>
    <col min="9733" max="9733" width="38.7109375" style="369" customWidth="1"/>
    <col min="9734" max="9734" width="12.7109375" style="369" customWidth="1"/>
    <col min="9735" max="9735" width="17.42578125" style="369" customWidth="1"/>
    <col min="9736" max="9736" width="11.28515625" style="369" bestFit="1" customWidth="1"/>
    <col min="9737" max="9984" width="9.140625" style="369"/>
    <col min="9985" max="9985" width="4.7109375" style="369" customWidth="1"/>
    <col min="9986" max="9986" width="44.85546875" style="369" customWidth="1"/>
    <col min="9987" max="9987" width="14.5703125" style="369" customWidth="1"/>
    <col min="9988" max="9988" width="16.28515625" style="369" customWidth="1"/>
    <col min="9989" max="9989" width="38.7109375" style="369" customWidth="1"/>
    <col min="9990" max="9990" width="12.7109375" style="369" customWidth="1"/>
    <col min="9991" max="9991" width="17.42578125" style="369" customWidth="1"/>
    <col min="9992" max="9992" width="11.28515625" style="369" bestFit="1" customWidth="1"/>
    <col min="9993" max="10240" width="9.140625" style="369"/>
    <col min="10241" max="10241" width="4.7109375" style="369" customWidth="1"/>
    <col min="10242" max="10242" width="44.85546875" style="369" customWidth="1"/>
    <col min="10243" max="10243" width="14.5703125" style="369" customWidth="1"/>
    <col min="10244" max="10244" width="16.28515625" style="369" customWidth="1"/>
    <col min="10245" max="10245" width="38.7109375" style="369" customWidth="1"/>
    <col min="10246" max="10246" width="12.7109375" style="369" customWidth="1"/>
    <col min="10247" max="10247" width="17.42578125" style="369" customWidth="1"/>
    <col min="10248" max="10248" width="11.28515625" style="369" bestFit="1" customWidth="1"/>
    <col min="10249" max="10496" width="9.140625" style="369"/>
    <col min="10497" max="10497" width="4.7109375" style="369" customWidth="1"/>
    <col min="10498" max="10498" width="44.85546875" style="369" customWidth="1"/>
    <col min="10499" max="10499" width="14.5703125" style="369" customWidth="1"/>
    <col min="10500" max="10500" width="16.28515625" style="369" customWidth="1"/>
    <col min="10501" max="10501" width="38.7109375" style="369" customWidth="1"/>
    <col min="10502" max="10502" width="12.7109375" style="369" customWidth="1"/>
    <col min="10503" max="10503" width="17.42578125" style="369" customWidth="1"/>
    <col min="10504" max="10504" width="11.28515625" style="369" bestFit="1" customWidth="1"/>
    <col min="10505" max="10752" width="9.140625" style="369"/>
    <col min="10753" max="10753" width="4.7109375" style="369" customWidth="1"/>
    <col min="10754" max="10754" width="44.85546875" style="369" customWidth="1"/>
    <col min="10755" max="10755" width="14.5703125" style="369" customWidth="1"/>
    <col min="10756" max="10756" width="16.28515625" style="369" customWidth="1"/>
    <col min="10757" max="10757" width="38.7109375" style="369" customWidth="1"/>
    <col min="10758" max="10758" width="12.7109375" style="369" customWidth="1"/>
    <col min="10759" max="10759" width="17.42578125" style="369" customWidth="1"/>
    <col min="10760" max="10760" width="11.28515625" style="369" bestFit="1" customWidth="1"/>
    <col min="10761" max="11008" width="9.140625" style="369"/>
    <col min="11009" max="11009" width="4.7109375" style="369" customWidth="1"/>
    <col min="11010" max="11010" width="44.85546875" style="369" customWidth="1"/>
    <col min="11011" max="11011" width="14.5703125" style="369" customWidth="1"/>
    <col min="11012" max="11012" width="16.28515625" style="369" customWidth="1"/>
    <col min="11013" max="11013" width="38.7109375" style="369" customWidth="1"/>
    <col min="11014" max="11014" width="12.7109375" style="369" customWidth="1"/>
    <col min="11015" max="11015" width="17.42578125" style="369" customWidth="1"/>
    <col min="11016" max="11016" width="11.28515625" style="369" bestFit="1" customWidth="1"/>
    <col min="11017" max="11264" width="9.140625" style="369"/>
    <col min="11265" max="11265" width="4.7109375" style="369" customWidth="1"/>
    <col min="11266" max="11266" width="44.85546875" style="369" customWidth="1"/>
    <col min="11267" max="11267" width="14.5703125" style="369" customWidth="1"/>
    <col min="11268" max="11268" width="16.28515625" style="369" customWidth="1"/>
    <col min="11269" max="11269" width="38.7109375" style="369" customWidth="1"/>
    <col min="11270" max="11270" width="12.7109375" style="369" customWidth="1"/>
    <col min="11271" max="11271" width="17.42578125" style="369" customWidth="1"/>
    <col min="11272" max="11272" width="11.28515625" style="369" bestFit="1" customWidth="1"/>
    <col min="11273" max="11520" width="9.140625" style="369"/>
    <col min="11521" max="11521" width="4.7109375" style="369" customWidth="1"/>
    <col min="11522" max="11522" width="44.85546875" style="369" customWidth="1"/>
    <col min="11523" max="11523" width="14.5703125" style="369" customWidth="1"/>
    <col min="11524" max="11524" width="16.28515625" style="369" customWidth="1"/>
    <col min="11525" max="11525" width="38.7109375" style="369" customWidth="1"/>
    <col min="11526" max="11526" width="12.7109375" style="369" customWidth="1"/>
    <col min="11527" max="11527" width="17.42578125" style="369" customWidth="1"/>
    <col min="11528" max="11528" width="11.28515625" style="369" bestFit="1" customWidth="1"/>
    <col min="11529" max="11776" width="9.140625" style="369"/>
    <col min="11777" max="11777" width="4.7109375" style="369" customWidth="1"/>
    <col min="11778" max="11778" width="44.85546875" style="369" customWidth="1"/>
    <col min="11779" max="11779" width="14.5703125" style="369" customWidth="1"/>
    <col min="11780" max="11780" width="16.28515625" style="369" customWidth="1"/>
    <col min="11781" max="11781" width="38.7109375" style="369" customWidth="1"/>
    <col min="11782" max="11782" width="12.7109375" style="369" customWidth="1"/>
    <col min="11783" max="11783" width="17.42578125" style="369" customWidth="1"/>
    <col min="11784" max="11784" width="11.28515625" style="369" bestFit="1" customWidth="1"/>
    <col min="11785" max="12032" width="9.140625" style="369"/>
    <col min="12033" max="12033" width="4.7109375" style="369" customWidth="1"/>
    <col min="12034" max="12034" width="44.85546875" style="369" customWidth="1"/>
    <col min="12035" max="12035" width="14.5703125" style="369" customWidth="1"/>
    <col min="12036" max="12036" width="16.28515625" style="369" customWidth="1"/>
    <col min="12037" max="12037" width="38.7109375" style="369" customWidth="1"/>
    <col min="12038" max="12038" width="12.7109375" style="369" customWidth="1"/>
    <col min="12039" max="12039" width="17.42578125" style="369" customWidth="1"/>
    <col min="12040" max="12040" width="11.28515625" style="369" bestFit="1" customWidth="1"/>
    <col min="12041" max="12288" width="9.140625" style="369"/>
    <col min="12289" max="12289" width="4.7109375" style="369" customWidth="1"/>
    <col min="12290" max="12290" width="44.85546875" style="369" customWidth="1"/>
    <col min="12291" max="12291" width="14.5703125" style="369" customWidth="1"/>
    <col min="12292" max="12292" width="16.28515625" style="369" customWidth="1"/>
    <col min="12293" max="12293" width="38.7109375" style="369" customWidth="1"/>
    <col min="12294" max="12294" width="12.7109375" style="369" customWidth="1"/>
    <col min="12295" max="12295" width="17.42578125" style="369" customWidth="1"/>
    <col min="12296" max="12296" width="11.28515625" style="369" bestFit="1" customWidth="1"/>
    <col min="12297" max="12544" width="9.140625" style="369"/>
    <col min="12545" max="12545" width="4.7109375" style="369" customWidth="1"/>
    <col min="12546" max="12546" width="44.85546875" style="369" customWidth="1"/>
    <col min="12547" max="12547" width="14.5703125" style="369" customWidth="1"/>
    <col min="12548" max="12548" width="16.28515625" style="369" customWidth="1"/>
    <col min="12549" max="12549" width="38.7109375" style="369" customWidth="1"/>
    <col min="12550" max="12550" width="12.7109375" style="369" customWidth="1"/>
    <col min="12551" max="12551" width="17.42578125" style="369" customWidth="1"/>
    <col min="12552" max="12552" width="11.28515625" style="369" bestFit="1" customWidth="1"/>
    <col min="12553" max="12800" width="9.140625" style="369"/>
    <col min="12801" max="12801" width="4.7109375" style="369" customWidth="1"/>
    <col min="12802" max="12802" width="44.85546875" style="369" customWidth="1"/>
    <col min="12803" max="12803" width="14.5703125" style="369" customWidth="1"/>
    <col min="12804" max="12804" width="16.28515625" style="369" customWidth="1"/>
    <col min="12805" max="12805" width="38.7109375" style="369" customWidth="1"/>
    <col min="12806" max="12806" width="12.7109375" style="369" customWidth="1"/>
    <col min="12807" max="12807" width="17.42578125" style="369" customWidth="1"/>
    <col min="12808" max="12808" width="11.28515625" style="369" bestFit="1" customWidth="1"/>
    <col min="12809" max="13056" width="9.140625" style="369"/>
    <col min="13057" max="13057" width="4.7109375" style="369" customWidth="1"/>
    <col min="13058" max="13058" width="44.85546875" style="369" customWidth="1"/>
    <col min="13059" max="13059" width="14.5703125" style="369" customWidth="1"/>
    <col min="13060" max="13060" width="16.28515625" style="369" customWidth="1"/>
    <col min="13061" max="13061" width="38.7109375" style="369" customWidth="1"/>
    <col min="13062" max="13062" width="12.7109375" style="369" customWidth="1"/>
    <col min="13063" max="13063" width="17.42578125" style="369" customWidth="1"/>
    <col min="13064" max="13064" width="11.28515625" style="369" bestFit="1" customWidth="1"/>
    <col min="13065" max="13312" width="9.140625" style="369"/>
    <col min="13313" max="13313" width="4.7109375" style="369" customWidth="1"/>
    <col min="13314" max="13314" width="44.85546875" style="369" customWidth="1"/>
    <col min="13315" max="13315" width="14.5703125" style="369" customWidth="1"/>
    <col min="13316" max="13316" width="16.28515625" style="369" customWidth="1"/>
    <col min="13317" max="13317" width="38.7109375" style="369" customWidth="1"/>
    <col min="13318" max="13318" width="12.7109375" style="369" customWidth="1"/>
    <col min="13319" max="13319" width="17.42578125" style="369" customWidth="1"/>
    <col min="13320" max="13320" width="11.28515625" style="369" bestFit="1" customWidth="1"/>
    <col min="13321" max="13568" width="9.140625" style="369"/>
    <col min="13569" max="13569" width="4.7109375" style="369" customWidth="1"/>
    <col min="13570" max="13570" width="44.85546875" style="369" customWidth="1"/>
    <col min="13571" max="13571" width="14.5703125" style="369" customWidth="1"/>
    <col min="13572" max="13572" width="16.28515625" style="369" customWidth="1"/>
    <col min="13573" max="13573" width="38.7109375" style="369" customWidth="1"/>
    <col min="13574" max="13574" width="12.7109375" style="369" customWidth="1"/>
    <col min="13575" max="13575" width="17.42578125" style="369" customWidth="1"/>
    <col min="13576" max="13576" width="11.28515625" style="369" bestFit="1" customWidth="1"/>
    <col min="13577" max="13824" width="9.140625" style="369"/>
    <col min="13825" max="13825" width="4.7109375" style="369" customWidth="1"/>
    <col min="13826" max="13826" width="44.85546875" style="369" customWidth="1"/>
    <col min="13827" max="13827" width="14.5703125" style="369" customWidth="1"/>
    <col min="13828" max="13828" width="16.28515625" style="369" customWidth="1"/>
    <col min="13829" max="13829" width="38.7109375" style="369" customWidth="1"/>
    <col min="13830" max="13830" width="12.7109375" style="369" customWidth="1"/>
    <col min="13831" max="13831" width="17.42578125" style="369" customWidth="1"/>
    <col min="13832" max="13832" width="11.28515625" style="369" bestFit="1" customWidth="1"/>
    <col min="13833" max="14080" width="9.140625" style="369"/>
    <col min="14081" max="14081" width="4.7109375" style="369" customWidth="1"/>
    <col min="14082" max="14082" width="44.85546875" style="369" customWidth="1"/>
    <col min="14083" max="14083" width="14.5703125" style="369" customWidth="1"/>
    <col min="14084" max="14084" width="16.28515625" style="369" customWidth="1"/>
    <col min="14085" max="14085" width="38.7109375" style="369" customWidth="1"/>
    <col min="14086" max="14086" width="12.7109375" style="369" customWidth="1"/>
    <col min="14087" max="14087" width="17.42578125" style="369" customWidth="1"/>
    <col min="14088" max="14088" width="11.28515625" style="369" bestFit="1" customWidth="1"/>
    <col min="14089" max="14336" width="9.140625" style="369"/>
    <col min="14337" max="14337" width="4.7109375" style="369" customWidth="1"/>
    <col min="14338" max="14338" width="44.85546875" style="369" customWidth="1"/>
    <col min="14339" max="14339" width="14.5703125" style="369" customWidth="1"/>
    <col min="14340" max="14340" width="16.28515625" style="369" customWidth="1"/>
    <col min="14341" max="14341" width="38.7109375" style="369" customWidth="1"/>
    <col min="14342" max="14342" width="12.7109375" style="369" customWidth="1"/>
    <col min="14343" max="14343" width="17.42578125" style="369" customWidth="1"/>
    <col min="14344" max="14344" width="11.28515625" style="369" bestFit="1" customWidth="1"/>
    <col min="14345" max="14592" width="9.140625" style="369"/>
    <col min="14593" max="14593" width="4.7109375" style="369" customWidth="1"/>
    <col min="14594" max="14594" width="44.85546875" style="369" customWidth="1"/>
    <col min="14595" max="14595" width="14.5703125" style="369" customWidth="1"/>
    <col min="14596" max="14596" width="16.28515625" style="369" customWidth="1"/>
    <col min="14597" max="14597" width="38.7109375" style="369" customWidth="1"/>
    <col min="14598" max="14598" width="12.7109375" style="369" customWidth="1"/>
    <col min="14599" max="14599" width="17.42578125" style="369" customWidth="1"/>
    <col min="14600" max="14600" width="11.28515625" style="369" bestFit="1" customWidth="1"/>
    <col min="14601" max="14848" width="9.140625" style="369"/>
    <col min="14849" max="14849" width="4.7109375" style="369" customWidth="1"/>
    <col min="14850" max="14850" width="44.85546875" style="369" customWidth="1"/>
    <col min="14851" max="14851" width="14.5703125" style="369" customWidth="1"/>
    <col min="14852" max="14852" width="16.28515625" style="369" customWidth="1"/>
    <col min="14853" max="14853" width="38.7109375" style="369" customWidth="1"/>
    <col min="14854" max="14854" width="12.7109375" style="369" customWidth="1"/>
    <col min="14855" max="14855" width="17.42578125" style="369" customWidth="1"/>
    <col min="14856" max="14856" width="11.28515625" style="369" bestFit="1" customWidth="1"/>
    <col min="14857" max="15104" width="9.140625" style="369"/>
    <col min="15105" max="15105" width="4.7109375" style="369" customWidth="1"/>
    <col min="15106" max="15106" width="44.85546875" style="369" customWidth="1"/>
    <col min="15107" max="15107" width="14.5703125" style="369" customWidth="1"/>
    <col min="15108" max="15108" width="16.28515625" style="369" customWidth="1"/>
    <col min="15109" max="15109" width="38.7109375" style="369" customWidth="1"/>
    <col min="15110" max="15110" width="12.7109375" style="369" customWidth="1"/>
    <col min="15111" max="15111" width="17.42578125" style="369" customWidth="1"/>
    <col min="15112" max="15112" width="11.28515625" style="369" bestFit="1" customWidth="1"/>
    <col min="15113" max="15360" width="9.140625" style="369"/>
    <col min="15361" max="15361" width="4.7109375" style="369" customWidth="1"/>
    <col min="15362" max="15362" width="44.85546875" style="369" customWidth="1"/>
    <col min="15363" max="15363" width="14.5703125" style="369" customWidth="1"/>
    <col min="15364" max="15364" width="16.28515625" style="369" customWidth="1"/>
    <col min="15365" max="15365" width="38.7109375" style="369" customWidth="1"/>
    <col min="15366" max="15366" width="12.7109375" style="369" customWidth="1"/>
    <col min="15367" max="15367" width="17.42578125" style="369" customWidth="1"/>
    <col min="15368" max="15368" width="11.28515625" style="369" bestFit="1" customWidth="1"/>
    <col min="15369" max="15616" width="9.140625" style="369"/>
    <col min="15617" max="15617" width="4.7109375" style="369" customWidth="1"/>
    <col min="15618" max="15618" width="44.85546875" style="369" customWidth="1"/>
    <col min="15619" max="15619" width="14.5703125" style="369" customWidth="1"/>
    <col min="15620" max="15620" width="16.28515625" style="369" customWidth="1"/>
    <col min="15621" max="15621" width="38.7109375" style="369" customWidth="1"/>
    <col min="15622" max="15622" width="12.7109375" style="369" customWidth="1"/>
    <col min="15623" max="15623" width="17.42578125" style="369" customWidth="1"/>
    <col min="15624" max="15624" width="11.28515625" style="369" bestFit="1" customWidth="1"/>
    <col min="15625" max="15872" width="9.140625" style="369"/>
    <col min="15873" max="15873" width="4.7109375" style="369" customWidth="1"/>
    <col min="15874" max="15874" width="44.85546875" style="369" customWidth="1"/>
    <col min="15875" max="15875" width="14.5703125" style="369" customWidth="1"/>
    <col min="15876" max="15876" width="16.28515625" style="369" customWidth="1"/>
    <col min="15877" max="15877" width="38.7109375" style="369" customWidth="1"/>
    <col min="15878" max="15878" width="12.7109375" style="369" customWidth="1"/>
    <col min="15879" max="15879" width="17.42578125" style="369" customWidth="1"/>
    <col min="15880" max="15880" width="11.28515625" style="369" bestFit="1" customWidth="1"/>
    <col min="15881" max="16128" width="9.140625" style="369"/>
    <col min="16129" max="16129" width="4.7109375" style="369" customWidth="1"/>
    <col min="16130" max="16130" width="44.85546875" style="369" customWidth="1"/>
    <col min="16131" max="16131" width="14.5703125" style="369" customWidth="1"/>
    <col min="16132" max="16132" width="16.28515625" style="369" customWidth="1"/>
    <col min="16133" max="16133" width="38.7109375" style="369" customWidth="1"/>
    <col min="16134" max="16134" width="12.7109375" style="369" customWidth="1"/>
    <col min="16135" max="16135" width="17.42578125" style="369" customWidth="1"/>
    <col min="16136" max="16136" width="11.28515625" style="369" bestFit="1" customWidth="1"/>
    <col min="16137" max="16384" width="9.140625" style="369"/>
  </cols>
  <sheetData>
    <row r="1" spans="1:12" ht="18" customHeight="1" x14ac:dyDescent="0.2">
      <c r="A1" s="418"/>
      <c r="B1" s="418"/>
      <c r="C1" s="421"/>
      <c r="D1" s="418"/>
      <c r="E1" s="696"/>
      <c r="F1" s="421"/>
      <c r="G1" s="418"/>
    </row>
    <row r="2" spans="1:12" ht="18" customHeight="1" x14ac:dyDescent="0.2">
      <c r="A2" s="418"/>
      <c r="B2" s="418"/>
      <c r="C2" s="420"/>
      <c r="D2" s="418"/>
      <c r="E2" s="696"/>
      <c r="F2" s="420"/>
      <c r="G2" s="418"/>
    </row>
    <row r="3" spans="1:12" ht="18" customHeight="1" x14ac:dyDescent="0.2">
      <c r="A3" s="418"/>
      <c r="B3" s="420"/>
      <c r="C3" s="420"/>
      <c r="D3" s="418"/>
      <c r="E3" s="696"/>
      <c r="F3" s="420"/>
      <c r="G3" s="418"/>
    </row>
    <row r="4" spans="1:12" ht="16.5" x14ac:dyDescent="0.2">
      <c r="A4" s="418"/>
      <c r="B4" s="420"/>
      <c r="C4" s="418"/>
      <c r="D4" s="419"/>
      <c r="E4" s="696"/>
      <c r="F4" s="418"/>
      <c r="G4" s="418"/>
    </row>
    <row r="5" spans="1:12" ht="16.5" x14ac:dyDescent="0.2">
      <c r="A5" s="710" t="s">
        <v>258</v>
      </c>
      <c r="B5" s="710"/>
      <c r="C5" s="710"/>
      <c r="D5" s="710"/>
      <c r="E5" s="710"/>
      <c r="F5" s="710"/>
      <c r="G5" s="710"/>
    </row>
    <row r="6" spans="1:12" s="375" customFormat="1" ht="79.5" customHeight="1" x14ac:dyDescent="0.2">
      <c r="A6" s="711" t="s">
        <v>324</v>
      </c>
      <c r="B6" s="711"/>
      <c r="C6" s="711"/>
      <c r="D6" s="711"/>
      <c r="E6" s="711"/>
      <c r="F6" s="711"/>
      <c r="G6" s="711"/>
      <c r="H6" s="417"/>
    </row>
    <row r="7" spans="1:12" s="375" customFormat="1" ht="18" customHeight="1" x14ac:dyDescent="0.2">
      <c r="A7" s="416"/>
      <c r="B7" s="415"/>
      <c r="C7" s="415"/>
      <c r="D7" s="415"/>
      <c r="E7" s="697"/>
    </row>
    <row r="8" spans="1:12" s="370" customFormat="1" x14ac:dyDescent="0.2">
      <c r="A8" s="712" t="s">
        <v>22</v>
      </c>
      <c r="B8" s="712" t="s">
        <v>65</v>
      </c>
      <c r="C8" s="712" t="s">
        <v>254</v>
      </c>
      <c r="D8" s="712" t="s">
        <v>257</v>
      </c>
      <c r="E8" s="714" t="s">
        <v>256</v>
      </c>
      <c r="F8" s="714"/>
      <c r="G8" s="712" t="s">
        <v>255</v>
      </c>
    </row>
    <row r="9" spans="1:12" s="370" customFormat="1" ht="24" x14ac:dyDescent="0.2">
      <c r="A9" s="713"/>
      <c r="B9" s="713"/>
      <c r="C9" s="713"/>
      <c r="D9" s="713"/>
      <c r="E9" s="698" t="s">
        <v>254</v>
      </c>
      <c r="F9" s="698" t="s">
        <v>253</v>
      </c>
      <c r="G9" s="713"/>
    </row>
    <row r="10" spans="1:12" x14ac:dyDescent="0.2">
      <c r="A10" s="411"/>
      <c r="B10" s="411" t="s">
        <v>66</v>
      </c>
      <c r="C10" s="411"/>
      <c r="D10" s="411"/>
      <c r="E10" s="699"/>
      <c r="F10" s="397"/>
      <c r="G10" s="397"/>
    </row>
    <row r="11" spans="1:12" ht="47.25" x14ac:dyDescent="0.2">
      <c r="A11" s="399">
        <v>1</v>
      </c>
      <c r="B11" s="414" t="s">
        <v>184</v>
      </c>
      <c r="C11" s="399" t="s">
        <v>252</v>
      </c>
      <c r="D11" s="403">
        <f>'Геол, экол, геод'!G35</f>
        <v>2302254</v>
      </c>
      <c r="E11" s="402" t="s">
        <v>259</v>
      </c>
      <c r="F11" s="409">
        <v>3.99</v>
      </c>
      <c r="G11" s="401">
        <f>ROUND(D11*F11,2)</f>
        <v>9185993.4600000009</v>
      </c>
      <c r="H11" s="406"/>
      <c r="I11" s="406"/>
      <c r="J11" s="406"/>
      <c r="K11" s="406"/>
      <c r="L11" s="405"/>
    </row>
    <row r="12" spans="1:12" x14ac:dyDescent="0.2">
      <c r="A12" s="413"/>
      <c r="B12" s="412" t="s">
        <v>67</v>
      </c>
      <c r="C12" s="412"/>
      <c r="D12" s="396">
        <f>SUM(D11:D11)</f>
        <v>2302254</v>
      </c>
      <c r="E12" s="402"/>
      <c r="F12" s="397"/>
      <c r="G12" s="396">
        <f>SUM(G11:G11)</f>
        <v>9185993.4600000009</v>
      </c>
    </row>
    <row r="13" spans="1:12" x14ac:dyDescent="0.2">
      <c r="A13" s="399"/>
      <c r="B13" s="411" t="s">
        <v>68</v>
      </c>
      <c r="C13" s="399"/>
      <c r="D13" s="398"/>
      <c r="E13" s="402"/>
      <c r="F13" s="410"/>
      <c r="G13" s="409"/>
      <c r="H13" s="370"/>
      <c r="I13" s="370"/>
      <c r="J13" s="370"/>
    </row>
    <row r="14" spans="1:12" ht="36" x14ac:dyDescent="0.2">
      <c r="A14" s="399">
        <v>2</v>
      </c>
      <c r="B14" s="408" t="s">
        <v>69</v>
      </c>
      <c r="C14" s="399" t="s">
        <v>251</v>
      </c>
      <c r="D14" s="403">
        <f>Т.с.!H280</f>
        <v>4440224.01</v>
      </c>
      <c r="E14" s="402" t="s">
        <v>260</v>
      </c>
      <c r="F14" s="700">
        <v>3.5859999999999999</v>
      </c>
      <c r="G14" s="401">
        <f>ROUND(D14*F14,2)</f>
        <v>15922643.300000001</v>
      </c>
      <c r="H14" s="406"/>
      <c r="I14" s="406"/>
      <c r="J14" s="406"/>
      <c r="K14" s="406"/>
      <c r="L14" s="405"/>
    </row>
    <row r="15" spans="1:12" ht="36" x14ac:dyDescent="0.2">
      <c r="A15" s="399">
        <v>3</v>
      </c>
      <c r="B15" s="408" t="s">
        <v>70</v>
      </c>
      <c r="C15" s="399" t="s">
        <v>250</v>
      </c>
      <c r="D15" s="403">
        <f>'ООС+Тр'!H61</f>
        <v>65848.38</v>
      </c>
      <c r="E15" s="402" t="s">
        <v>260</v>
      </c>
      <c r="F15" s="700">
        <v>3.5859999999999999</v>
      </c>
      <c r="G15" s="401">
        <f>ROUND(D15*F15,2)</f>
        <v>236132.29</v>
      </c>
      <c r="H15" s="406"/>
      <c r="I15" s="406"/>
      <c r="J15" s="406"/>
      <c r="K15" s="406"/>
      <c r="L15" s="405"/>
    </row>
    <row r="16" spans="1:12" ht="36" x14ac:dyDescent="0.2">
      <c r="A16" s="399">
        <v>4</v>
      </c>
      <c r="B16" s="407" t="s">
        <v>76</v>
      </c>
      <c r="C16" s="399" t="s">
        <v>249</v>
      </c>
      <c r="D16" s="403">
        <f>ПОЖ!H21</f>
        <v>34000</v>
      </c>
      <c r="E16" s="402" t="s">
        <v>260</v>
      </c>
      <c r="F16" s="700">
        <v>3.5859999999999999</v>
      </c>
      <c r="G16" s="401">
        <f>ROUND(D16*F16,2)</f>
        <v>121924</v>
      </c>
      <c r="H16" s="406"/>
      <c r="I16" s="406"/>
      <c r="J16" s="406"/>
      <c r="K16" s="406"/>
      <c r="L16" s="405"/>
    </row>
    <row r="17" spans="1:12" ht="36" x14ac:dyDescent="0.2">
      <c r="A17" s="399">
        <v>5</v>
      </c>
      <c r="B17" s="404" t="s">
        <v>261</v>
      </c>
      <c r="C17" s="399" t="s">
        <v>248</v>
      </c>
      <c r="D17" s="403">
        <f>РДП!H21</f>
        <v>67849.2</v>
      </c>
      <c r="E17" s="402" t="s">
        <v>262</v>
      </c>
      <c r="F17" s="700">
        <v>3.95</v>
      </c>
      <c r="G17" s="401">
        <f>ROUND(D17*F17,2)</f>
        <v>268004.34000000003</v>
      </c>
      <c r="H17" s="406"/>
      <c r="I17" s="406"/>
      <c r="J17" s="406"/>
      <c r="K17" s="406"/>
      <c r="L17" s="405"/>
    </row>
    <row r="18" spans="1:12" ht="36" x14ac:dyDescent="0.2">
      <c r="A18" s="399">
        <v>6</v>
      </c>
      <c r="B18" s="404" t="s">
        <v>165</v>
      </c>
      <c r="C18" s="399" t="s">
        <v>263</v>
      </c>
      <c r="D18" s="403">
        <f>СОГЛ!G17</f>
        <v>84043.53</v>
      </c>
      <c r="E18" s="402" t="s">
        <v>260</v>
      </c>
      <c r="F18" s="700">
        <v>3.5859999999999999</v>
      </c>
      <c r="G18" s="401">
        <f>ROUND(D18*F18,2)</f>
        <v>301380.09999999998</v>
      </c>
    </row>
    <row r="19" spans="1:12" ht="19.5" customHeight="1" x14ac:dyDescent="0.2">
      <c r="A19" s="399"/>
      <c r="B19" s="400" t="s">
        <v>88</v>
      </c>
      <c r="C19" s="399"/>
      <c r="D19" s="398">
        <f>SUM(D14:D18)</f>
        <v>4691965.12</v>
      </c>
      <c r="E19" s="701"/>
      <c r="F19" s="397"/>
      <c r="G19" s="396">
        <f>SUM(G14:G18)</f>
        <v>16850084.030000001</v>
      </c>
    </row>
    <row r="20" spans="1:12" s="383" customFormat="1" ht="19.5" customHeight="1" x14ac:dyDescent="0.2">
      <c r="A20" s="395"/>
      <c r="B20" s="715" t="s">
        <v>247</v>
      </c>
      <c r="C20" s="715"/>
      <c r="D20" s="394">
        <f>ROUND(D12+D19,2)</f>
        <v>6994219.1200000001</v>
      </c>
      <c r="E20" s="702"/>
      <c r="F20" s="393"/>
      <c r="G20" s="392">
        <f>G12+G19</f>
        <v>26036077.490000002</v>
      </c>
    </row>
    <row r="21" spans="1:12" s="387" customFormat="1" x14ac:dyDescent="0.2">
      <c r="D21" s="391"/>
      <c r="E21" s="390"/>
      <c r="G21" s="389"/>
      <c r="H21" s="388"/>
    </row>
    <row r="22" spans="1:12" s="386" customFormat="1" ht="16.5" x14ac:dyDescent="0.2">
      <c r="A22" s="703"/>
      <c r="B22" s="709" t="s">
        <v>286</v>
      </c>
      <c r="C22" s="709"/>
      <c r="D22" s="704"/>
      <c r="E22" s="705"/>
      <c r="F22" s="705"/>
      <c r="G22" s="505">
        <f>G20</f>
        <v>26036077.490000002</v>
      </c>
    </row>
    <row r="23" spans="1:12" s="386" customFormat="1" ht="16.5" x14ac:dyDescent="0.2">
      <c r="A23" s="703"/>
      <c r="B23" s="709" t="s">
        <v>1</v>
      </c>
      <c r="C23" s="709"/>
      <c r="D23" s="704"/>
      <c r="E23" s="705"/>
      <c r="F23" s="705"/>
      <c r="G23" s="506">
        <f>ROUND(G22*0.18,2)</f>
        <v>4686493.95</v>
      </c>
    </row>
    <row r="24" spans="1:12" s="386" customFormat="1" ht="16.5" x14ac:dyDescent="0.2">
      <c r="A24" s="703"/>
      <c r="B24" s="709" t="s">
        <v>280</v>
      </c>
      <c r="C24" s="709"/>
      <c r="D24" s="704"/>
      <c r="E24" s="705"/>
      <c r="F24" s="705"/>
      <c r="G24" s="506">
        <f>SUM(G22:G23)</f>
        <v>30722571.440000001</v>
      </c>
    </row>
    <row r="25" spans="1:12" s="385" customFormat="1" x14ac:dyDescent="0.2">
      <c r="A25" s="375"/>
      <c r="B25" s="378"/>
      <c r="C25" s="377"/>
      <c r="D25" s="376"/>
      <c r="E25" s="697"/>
    </row>
    <row r="26" spans="1:12" s="385" customFormat="1" x14ac:dyDescent="0.2">
      <c r="A26" s="375"/>
      <c r="B26" s="378"/>
      <c r="C26" s="377"/>
      <c r="D26" s="376"/>
      <c r="E26" s="697"/>
    </row>
    <row r="27" spans="1:12" s="385" customFormat="1" x14ac:dyDescent="0.2">
      <c r="A27" s="375"/>
      <c r="B27" s="378"/>
      <c r="C27" s="377"/>
      <c r="D27" s="376"/>
      <c r="E27" s="697"/>
    </row>
    <row r="28" spans="1:12" s="385" customFormat="1" x14ac:dyDescent="0.2">
      <c r="A28" s="375"/>
      <c r="B28" s="378"/>
      <c r="C28" s="377"/>
      <c r="D28" s="376"/>
      <c r="E28" s="697"/>
    </row>
    <row r="29" spans="1:12" s="375" customFormat="1" x14ac:dyDescent="0.2">
      <c r="A29" s="381"/>
      <c r="B29" s="380"/>
      <c r="C29" s="380"/>
      <c r="D29" s="379"/>
      <c r="E29" s="706"/>
    </row>
    <row r="30" spans="1:12" s="375" customFormat="1" x14ac:dyDescent="0.2">
      <c r="A30" s="381"/>
      <c r="B30" s="380"/>
      <c r="C30" s="380"/>
      <c r="D30" s="379"/>
      <c r="E30" s="707"/>
    </row>
    <row r="31" spans="1:12" s="375" customFormat="1" x14ac:dyDescent="0.2">
      <c r="A31" s="381"/>
      <c r="B31" s="380"/>
      <c r="C31" s="380"/>
      <c r="D31" s="379"/>
      <c r="E31" s="706"/>
    </row>
    <row r="32" spans="1:12" x14ac:dyDescent="0.2">
      <c r="A32" s="375"/>
      <c r="B32" s="378"/>
      <c r="C32" s="377"/>
      <c r="D32" s="376"/>
      <c r="E32" s="697"/>
    </row>
    <row r="33" spans="1:5" x14ac:dyDescent="0.2">
      <c r="A33" s="375"/>
      <c r="B33" s="378"/>
      <c r="C33" s="377"/>
      <c r="D33" s="376"/>
      <c r="E33" s="697"/>
    </row>
    <row r="34" spans="1:5" x14ac:dyDescent="0.2">
      <c r="A34" s="375"/>
      <c r="B34" s="375"/>
      <c r="C34" s="374"/>
      <c r="D34" s="373"/>
      <c r="E34" s="697"/>
    </row>
    <row r="35" spans="1:5" x14ac:dyDescent="0.2">
      <c r="A35" s="372"/>
      <c r="D35" s="371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7"/>
  <sheetViews>
    <sheetView view="pageBreakPreview" topLeftCell="A262" zoomScale="70" zoomScaleNormal="100" zoomScaleSheetLayoutView="70" workbookViewId="0">
      <selection activeCell="B294" sqref="B294"/>
    </sheetView>
  </sheetViews>
  <sheetFormatPr defaultColWidth="9.140625" defaultRowHeight="12.75" x14ac:dyDescent="0.2"/>
  <cols>
    <col min="1" max="1" width="3.85546875" style="264" customWidth="1"/>
    <col min="2" max="2" width="37.7109375" style="264" customWidth="1"/>
    <col min="3" max="3" width="12" style="10" customWidth="1"/>
    <col min="4" max="4" width="11.28515625" style="265" bestFit="1" customWidth="1"/>
    <col min="5" max="5" width="27.7109375" style="264" customWidth="1"/>
    <col min="6" max="6" width="7.28515625" style="266" customWidth="1"/>
    <col min="7" max="7" width="35.42578125" style="264" customWidth="1"/>
    <col min="8" max="8" width="12.85546875" style="267" customWidth="1"/>
    <col min="9" max="9" width="20.28515625" style="231" customWidth="1"/>
    <col min="10" max="10" width="6.42578125" style="268" customWidth="1"/>
    <col min="11" max="14" width="15" style="268" customWidth="1"/>
    <col min="15" max="16384" width="9.140625" style="264"/>
  </cols>
  <sheetData>
    <row r="1" spans="1:16" x14ac:dyDescent="0.2">
      <c r="C1" s="6"/>
      <c r="G1" s="7"/>
      <c r="H1" s="252"/>
    </row>
    <row r="2" spans="1:16" x14ac:dyDescent="0.2">
      <c r="C2" s="6"/>
      <c r="G2" s="7"/>
      <c r="H2" s="253"/>
    </row>
    <row r="3" spans="1:16" x14ac:dyDescent="0.2">
      <c r="C3" s="6"/>
      <c r="G3" s="262"/>
      <c r="H3" s="253"/>
    </row>
    <row r="4" spans="1:16" s="9" customFormat="1" ht="6.75" customHeight="1" x14ac:dyDescent="0.2">
      <c r="A4" s="664"/>
      <c r="B4" s="664"/>
      <c r="C4" s="665"/>
      <c r="D4" s="664"/>
      <c r="E4" s="664"/>
      <c r="F4" s="664"/>
      <c r="G4" s="664"/>
      <c r="H4" s="666"/>
      <c r="I4" s="232"/>
    </row>
    <row r="5" spans="1:16" ht="17.25" hidden="1" customHeight="1" x14ac:dyDescent="0.2">
      <c r="D5" s="11"/>
      <c r="F5" s="12"/>
      <c r="G5" s="635"/>
    </row>
    <row r="6" spans="1:16" ht="16.5" customHeight="1" x14ac:dyDescent="0.2">
      <c r="A6" s="758" t="s">
        <v>73</v>
      </c>
      <c r="B6" s="758"/>
      <c r="C6" s="758"/>
      <c r="D6" s="758"/>
      <c r="E6" s="758"/>
      <c r="F6" s="758"/>
      <c r="G6" s="758"/>
      <c r="H6" s="758"/>
    </row>
    <row r="7" spans="1:16" ht="16.5" customHeight="1" x14ac:dyDescent="0.2">
      <c r="A7" s="634"/>
      <c r="B7" s="634"/>
      <c r="C7" s="634"/>
      <c r="D7" s="634"/>
      <c r="E7" s="634"/>
      <c r="F7" s="634"/>
      <c r="G7" s="634"/>
      <c r="H7" s="297"/>
    </row>
    <row r="8" spans="1:16" ht="88.5" customHeight="1" x14ac:dyDescent="0.2">
      <c r="A8" s="759" t="str">
        <f>'С С Р'!A6:G6</f>
        <v xml:space="preserve"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комплексной застройки, расположенных по адресу: 
г. Москва, Золоторожский Вал, вл. 11. </v>
      </c>
      <c r="B8" s="759"/>
      <c r="C8" s="759"/>
      <c r="D8" s="759"/>
      <c r="E8" s="759"/>
      <c r="F8" s="759"/>
      <c r="G8" s="759"/>
      <c r="H8" s="759"/>
    </row>
    <row r="9" spans="1:16" ht="12" customHeight="1" x14ac:dyDescent="0.2">
      <c r="A9" s="761"/>
      <c r="B9" s="761"/>
      <c r="C9" s="761"/>
      <c r="D9" s="761"/>
      <c r="E9" s="761"/>
      <c r="F9" s="761"/>
      <c r="G9" s="761"/>
      <c r="H9" s="761"/>
    </row>
    <row r="10" spans="1:16" x14ac:dyDescent="0.2">
      <c r="A10" s="761" t="s">
        <v>85</v>
      </c>
      <c r="B10" s="761"/>
      <c r="C10" s="761"/>
      <c r="D10" s="761"/>
      <c r="E10" s="761"/>
      <c r="F10" s="761"/>
      <c r="G10" s="761"/>
      <c r="H10" s="761"/>
    </row>
    <row r="11" spans="1:16" ht="36" customHeight="1" x14ac:dyDescent="0.2">
      <c r="A11" s="760" t="s">
        <v>305</v>
      </c>
      <c r="B11" s="760"/>
      <c r="C11" s="760"/>
      <c r="D11" s="760"/>
      <c r="E11" s="760"/>
      <c r="F11" s="760"/>
      <c r="G11" s="760"/>
      <c r="H11" s="760"/>
      <c r="I11" s="726"/>
      <c r="J11" s="726"/>
      <c r="K11" s="726"/>
      <c r="L11" s="726"/>
      <c r="M11" s="726"/>
      <c r="N11" s="726"/>
      <c r="O11" s="726"/>
      <c r="P11" s="726"/>
    </row>
    <row r="12" spans="1:16" ht="18" customHeight="1" x14ac:dyDescent="0.2">
      <c r="A12" s="760"/>
      <c r="B12" s="760"/>
      <c r="C12" s="760"/>
      <c r="D12" s="760"/>
      <c r="E12" s="760"/>
      <c r="F12" s="760"/>
      <c r="G12" s="760"/>
      <c r="H12" s="760"/>
    </row>
    <row r="13" spans="1:16" ht="9.75" customHeight="1" thickBot="1" x14ac:dyDescent="0.25">
      <c r="B13" s="14"/>
      <c r="D13" s="264"/>
      <c r="I13" s="233"/>
      <c r="J13" s="15"/>
      <c r="K13" s="15"/>
      <c r="L13" s="15"/>
      <c r="M13" s="15"/>
      <c r="N13" s="15"/>
    </row>
    <row r="14" spans="1:16" ht="39" customHeight="1" thickBot="1" x14ac:dyDescent="0.25">
      <c r="A14" s="16" t="s">
        <v>22</v>
      </c>
      <c r="B14" s="727" t="s">
        <v>2</v>
      </c>
      <c r="C14" s="729"/>
      <c r="D14" s="17" t="s">
        <v>8</v>
      </c>
      <c r="E14" s="18" t="s">
        <v>3</v>
      </c>
      <c r="F14" s="19" t="s">
        <v>4</v>
      </c>
      <c r="G14" s="633" t="s">
        <v>0</v>
      </c>
      <c r="H14" s="17" t="s">
        <v>5</v>
      </c>
    </row>
    <row r="15" spans="1:16" ht="13.5" thickBot="1" x14ac:dyDescent="0.25">
      <c r="A15" s="20"/>
      <c r="B15" s="727" t="s">
        <v>89</v>
      </c>
      <c r="C15" s="728"/>
      <c r="D15" s="728"/>
      <c r="E15" s="728"/>
      <c r="F15" s="728"/>
      <c r="G15" s="728"/>
      <c r="H15" s="729"/>
    </row>
    <row r="16" spans="1:16" ht="13.5" thickBot="1" x14ac:dyDescent="0.25">
      <c r="A16" s="766" t="s">
        <v>359</v>
      </c>
      <c r="B16" s="767"/>
      <c r="C16" s="767"/>
      <c r="D16" s="767"/>
      <c r="E16" s="767"/>
      <c r="F16" s="767"/>
      <c r="G16" s="767"/>
      <c r="H16" s="768"/>
    </row>
    <row r="17" spans="1:24" ht="14.25" customHeight="1" thickBot="1" x14ac:dyDescent="0.3">
      <c r="A17" s="730" t="s">
        <v>325</v>
      </c>
      <c r="B17" s="731"/>
      <c r="C17" s="731"/>
      <c r="D17" s="731"/>
      <c r="E17" s="731"/>
      <c r="F17" s="731"/>
      <c r="G17" s="731"/>
      <c r="H17" s="732"/>
      <c r="I17" s="268"/>
    </row>
    <row r="18" spans="1:24" x14ac:dyDescent="0.2">
      <c r="A18" s="733">
        <v>1</v>
      </c>
      <c r="B18" s="280" t="s">
        <v>185</v>
      </c>
      <c r="C18" s="281">
        <f>C22+C23+C24</f>
        <v>650</v>
      </c>
      <c r="D18" s="270">
        <f>ROUND(C20+C18*C21,2)</f>
        <v>347600</v>
      </c>
      <c r="E18" s="667"/>
      <c r="F18" s="668"/>
      <c r="G18" s="282"/>
      <c r="H18" s="271"/>
      <c r="I18" s="268"/>
    </row>
    <row r="19" spans="1:24" ht="25.5" x14ac:dyDescent="0.2">
      <c r="A19" s="734"/>
      <c r="B19" s="283" t="s">
        <v>326</v>
      </c>
      <c r="C19" s="284"/>
      <c r="D19" s="299"/>
      <c r="E19" s="647" t="s">
        <v>319</v>
      </c>
      <c r="F19" s="274">
        <v>1.1000000000000001</v>
      </c>
      <c r="G19" s="279"/>
      <c r="H19" s="273"/>
      <c r="I19" s="268"/>
    </row>
    <row r="20" spans="1:24" ht="25.5" x14ac:dyDescent="0.2">
      <c r="A20" s="734"/>
      <c r="B20" s="285" t="s">
        <v>355</v>
      </c>
      <c r="C20" s="257">
        <v>98000</v>
      </c>
      <c r="D20" s="299"/>
      <c r="E20" s="647" t="s">
        <v>318</v>
      </c>
      <c r="F20" s="274">
        <v>1.1499999999999999</v>
      </c>
      <c r="G20" s="279"/>
      <c r="H20" s="426"/>
      <c r="I20" s="526"/>
    </row>
    <row r="21" spans="1:24" x14ac:dyDescent="0.2">
      <c r="A21" s="734"/>
      <c r="B21" s="286" t="s">
        <v>11</v>
      </c>
      <c r="C21" s="257">
        <v>384</v>
      </c>
      <c r="D21" s="299"/>
      <c r="E21" s="647"/>
      <c r="F21" s="274"/>
      <c r="G21" s="277"/>
      <c r="H21" s="278"/>
      <c r="I21" s="268"/>
    </row>
    <row r="22" spans="1:24" x14ac:dyDescent="0.2">
      <c r="A22" s="734"/>
      <c r="B22" s="427" t="s">
        <v>327</v>
      </c>
      <c r="C22" s="300">
        <f>100+20</f>
        <v>120</v>
      </c>
      <c r="D22" s="299"/>
      <c r="E22" s="647"/>
      <c r="F22" s="274"/>
      <c r="G22" s="287" t="str">
        <f>CONCATENATE(D18,"*",F19,"*",F20,"*",C22,"/",C18)</f>
        <v>347600*1,1*1,15*120/650</v>
      </c>
      <c r="H22" s="273">
        <f>ROUND(D18*F19*F20*C22/C18,2)</f>
        <v>81177.97</v>
      </c>
      <c r="I22" s="268"/>
    </row>
    <row r="23" spans="1:24" x14ac:dyDescent="0.2">
      <c r="A23" s="734"/>
      <c r="B23" s="427" t="s">
        <v>328</v>
      </c>
      <c r="C23" s="300">
        <f>150+80</f>
        <v>230</v>
      </c>
      <c r="D23" s="299"/>
      <c r="E23" s="647"/>
      <c r="F23" s="274"/>
      <c r="G23" s="287" t="str">
        <f>CONCATENATE(D18,"*",F19,"*",C23,"/",C18)</f>
        <v>347600*1,1*230/650</v>
      </c>
      <c r="H23" s="273">
        <f>ROUND(D18*F19*C23/C18,2)</f>
        <v>135296.62</v>
      </c>
      <c r="I23" s="268"/>
    </row>
    <row r="24" spans="1:24" ht="13.5" thickBot="1" x14ac:dyDescent="0.25">
      <c r="A24" s="737"/>
      <c r="B24" s="427" t="s">
        <v>329</v>
      </c>
      <c r="C24" s="300">
        <f>300</f>
        <v>300</v>
      </c>
      <c r="D24" s="299"/>
      <c r="E24" s="647"/>
      <c r="F24" s="274"/>
      <c r="G24" s="287" t="str">
        <f>CONCATENATE(D18,"*",F19,"*",C24,"/",C18)</f>
        <v>347600*1,1*300/650</v>
      </c>
      <c r="H24" s="273">
        <f>ROUND(D18*F19*C24/C18,2)</f>
        <v>176473.85</v>
      </c>
      <c r="I24" s="648"/>
    </row>
    <row r="25" spans="1:24" x14ac:dyDescent="0.2">
      <c r="A25" s="733">
        <v>2</v>
      </c>
      <c r="B25" s="570" t="s">
        <v>330</v>
      </c>
      <c r="C25" s="422">
        <f>C24</f>
        <v>300</v>
      </c>
      <c r="D25" s="2">
        <f>ROUND(C26+C25*C27,2)</f>
        <v>485400</v>
      </c>
      <c r="E25" s="288"/>
      <c r="F25" s="275"/>
      <c r="G25" s="276"/>
      <c r="H25" s="289"/>
      <c r="I25" s="268"/>
    </row>
    <row r="26" spans="1:24" ht="25.5" x14ac:dyDescent="0.2">
      <c r="A26" s="734"/>
      <c r="B26" s="632" t="s">
        <v>332</v>
      </c>
      <c r="C26" s="571">
        <v>153000</v>
      </c>
      <c r="D26" s="3"/>
      <c r="E26" s="424" t="s">
        <v>337</v>
      </c>
      <c r="F26" s="272">
        <v>0.6</v>
      </c>
      <c r="G26" s="572" t="str">
        <f>CONCATENATE(D25,"*",F26)</f>
        <v>485400*0,6</v>
      </c>
      <c r="H26" s="4">
        <f>ROUND(D25*F26,2)</f>
        <v>291240</v>
      </c>
      <c r="I26" s="268"/>
    </row>
    <row r="27" spans="1:24" ht="13.5" thickBot="1" x14ac:dyDescent="0.25">
      <c r="A27" s="737"/>
      <c r="B27" s="573" t="s">
        <v>11</v>
      </c>
      <c r="C27" s="574">
        <v>1108</v>
      </c>
      <c r="D27" s="500"/>
      <c r="E27" s="669"/>
      <c r="F27" s="216"/>
      <c r="G27" s="481"/>
      <c r="H27" s="482"/>
      <c r="I27" s="575"/>
      <c r="J27" s="575"/>
      <c r="K27" s="575"/>
      <c r="L27" s="575"/>
      <c r="M27" s="575"/>
      <c r="N27" s="575"/>
      <c r="O27" s="576"/>
      <c r="P27" s="576"/>
      <c r="Q27" s="576"/>
      <c r="R27" s="576"/>
      <c r="S27" s="576"/>
      <c r="T27" s="576"/>
      <c r="U27" s="576"/>
      <c r="V27" s="576"/>
      <c r="W27" s="576"/>
      <c r="X27" s="576"/>
    </row>
    <row r="28" spans="1:24" ht="14.25" customHeight="1" thickBot="1" x14ac:dyDescent="0.3">
      <c r="A28" s="730" t="s">
        <v>333</v>
      </c>
      <c r="B28" s="731"/>
      <c r="C28" s="731"/>
      <c r="D28" s="731"/>
      <c r="E28" s="731"/>
      <c r="F28" s="731"/>
      <c r="G28" s="731"/>
      <c r="H28" s="732"/>
    </row>
    <row r="29" spans="1:24" x14ac:dyDescent="0.2">
      <c r="A29" s="733">
        <v>3</v>
      </c>
      <c r="B29" s="280" t="s">
        <v>185</v>
      </c>
      <c r="C29" s="281">
        <f>C34+C33</f>
        <v>150</v>
      </c>
      <c r="D29" s="270">
        <f>ROUND(C31+C29*C32,2)</f>
        <v>52950</v>
      </c>
      <c r="E29" s="667"/>
      <c r="F29" s="668"/>
      <c r="G29" s="282"/>
      <c r="H29" s="271"/>
    </row>
    <row r="30" spans="1:24" ht="25.5" x14ac:dyDescent="0.2">
      <c r="A30" s="734"/>
      <c r="B30" s="283" t="s">
        <v>335</v>
      </c>
      <c r="C30" s="284"/>
      <c r="D30" s="299"/>
      <c r="E30" s="647" t="s">
        <v>319</v>
      </c>
      <c r="F30" s="274">
        <v>1.1000000000000001</v>
      </c>
      <c r="G30" s="279"/>
      <c r="H30" s="273"/>
    </row>
    <row r="31" spans="1:24" ht="25.5" x14ac:dyDescent="0.2">
      <c r="A31" s="734"/>
      <c r="B31" s="285" t="s">
        <v>313</v>
      </c>
      <c r="C31" s="257">
        <v>21000</v>
      </c>
      <c r="D31" s="299"/>
      <c r="E31" s="647" t="s">
        <v>318</v>
      </c>
      <c r="F31" s="274">
        <v>1.1499999999999999</v>
      </c>
      <c r="G31" s="279"/>
      <c r="H31" s="426"/>
    </row>
    <row r="32" spans="1:24" x14ac:dyDescent="0.2">
      <c r="A32" s="734"/>
      <c r="B32" s="286" t="s">
        <v>11</v>
      </c>
      <c r="C32" s="257">
        <v>213</v>
      </c>
      <c r="D32" s="299"/>
      <c r="E32" s="647" t="s">
        <v>336</v>
      </c>
      <c r="F32" s="274">
        <v>1.75</v>
      </c>
      <c r="G32" s="277"/>
      <c r="H32" s="278"/>
    </row>
    <row r="33" spans="1:9" ht="20.25" customHeight="1" x14ac:dyDescent="0.2">
      <c r="A33" s="734"/>
      <c r="B33" s="577" t="s">
        <v>328</v>
      </c>
      <c r="C33" s="300">
        <v>90</v>
      </c>
      <c r="E33" s="647"/>
      <c r="F33" s="274"/>
      <c r="G33" s="287" t="str">
        <f>CONCATENATE(D29,"*",F30,"*",F32,"*",C33,"/",C29)</f>
        <v>52950*1,1*1,75*90/150</v>
      </c>
      <c r="H33" s="273">
        <f>ROUND(D29*F30*F32*C33/C29,2)</f>
        <v>61157.25</v>
      </c>
    </row>
    <row r="34" spans="1:9" ht="39" thickBot="1" x14ac:dyDescent="0.25">
      <c r="A34" s="737"/>
      <c r="B34" s="427" t="s">
        <v>327</v>
      </c>
      <c r="C34" s="300">
        <v>60</v>
      </c>
      <c r="D34" s="299"/>
      <c r="E34" s="647" t="s">
        <v>334</v>
      </c>
      <c r="F34" s="274">
        <v>2</v>
      </c>
      <c r="G34" s="287" t="str">
        <f>CONCATENATE(D29,"*",F34,"*",C34,"/",C29)</f>
        <v>52950*2*60/150</v>
      </c>
      <c r="H34" s="273">
        <f>ROUND(D29*F34*C34/C29,2)</f>
        <v>42360</v>
      </c>
    </row>
    <row r="35" spans="1:9" ht="15.75" customHeight="1" thickBot="1" x14ac:dyDescent="0.3">
      <c r="A35" s="738" t="s">
        <v>340</v>
      </c>
      <c r="B35" s="739"/>
      <c r="C35" s="739"/>
      <c r="D35" s="739"/>
      <c r="E35" s="739"/>
      <c r="F35" s="739"/>
      <c r="G35" s="739"/>
      <c r="H35" s="740"/>
    </row>
    <row r="36" spans="1:9" ht="13.5" thickBot="1" x14ac:dyDescent="0.25">
      <c r="A36" s="629"/>
      <c r="B36" s="477" t="s">
        <v>312</v>
      </c>
      <c r="C36" s="478"/>
      <c r="D36" s="479"/>
      <c r="E36" s="480"/>
      <c r="F36" s="272"/>
      <c r="G36" s="481"/>
      <c r="H36" s="482"/>
    </row>
    <row r="37" spans="1:9" ht="25.5" x14ac:dyDescent="0.2">
      <c r="A37" s="741">
        <v>4</v>
      </c>
      <c r="B37" s="483" t="s">
        <v>281</v>
      </c>
      <c r="C37" s="484">
        <f>(5.2+4.6)*2*2</f>
        <v>39.200000000000003</v>
      </c>
      <c r="D37" s="270">
        <f>C39+C40*C37</f>
        <v>89000</v>
      </c>
      <c r="E37" s="288" t="s">
        <v>390</v>
      </c>
      <c r="F37" s="275">
        <v>1.2</v>
      </c>
      <c r="G37" s="276" t="str">
        <f>CONCATENATE(D37," * ",F37," * ",F38,"*",F39)</f>
        <v>89000 * 1,2 * 1*1</v>
      </c>
      <c r="H37" s="271">
        <f>ROUND(D37*F37*F38*F39,2)</f>
        <v>106800</v>
      </c>
      <c r="I37" s="526"/>
    </row>
    <row r="38" spans="1:9" x14ac:dyDescent="0.2">
      <c r="A38" s="742"/>
      <c r="B38" s="486" t="s">
        <v>341</v>
      </c>
      <c r="C38" s="487"/>
      <c r="D38" s="299"/>
      <c r="E38" s="578" t="s">
        <v>282</v>
      </c>
      <c r="F38" s="274">
        <v>1</v>
      </c>
      <c r="G38" s="277"/>
      <c r="H38" s="278"/>
    </row>
    <row r="39" spans="1:9" ht="25.5" x14ac:dyDescent="0.2">
      <c r="A39" s="742"/>
      <c r="B39" s="488" t="s">
        <v>314</v>
      </c>
      <c r="C39" s="489">
        <v>89000</v>
      </c>
      <c r="D39" s="490"/>
      <c r="E39" s="579" t="s">
        <v>312</v>
      </c>
      <c r="F39" s="274">
        <v>1</v>
      </c>
      <c r="G39" s="277"/>
      <c r="H39" s="491"/>
    </row>
    <row r="40" spans="1:9" ht="13.5" thickBot="1" x14ac:dyDescent="0.25">
      <c r="A40" s="743"/>
      <c r="B40" s="492" t="s">
        <v>11</v>
      </c>
      <c r="C40" s="525"/>
      <c r="D40" s="494"/>
      <c r="E40" s="559"/>
      <c r="F40" s="274"/>
      <c r="G40" s="497"/>
      <c r="H40" s="498"/>
    </row>
    <row r="41" spans="1:9" ht="13.5" thickBot="1" x14ac:dyDescent="0.25">
      <c r="A41" s="580"/>
      <c r="B41" s="581" t="s">
        <v>283</v>
      </c>
      <c r="C41" s="582"/>
      <c r="D41" s="3"/>
      <c r="E41" s="583"/>
      <c r="F41" s="584"/>
      <c r="G41" s="294"/>
      <c r="H41" s="295"/>
      <c r="I41" s="268"/>
    </row>
    <row r="42" spans="1:9" ht="21.75" customHeight="1" x14ac:dyDescent="0.2">
      <c r="A42" s="741">
        <v>5</v>
      </c>
      <c r="B42" s="483" t="s">
        <v>339</v>
      </c>
      <c r="C42" s="585"/>
      <c r="D42" s="270">
        <f>ROUND(C44+C42*C45,2)</f>
        <v>11000</v>
      </c>
      <c r="E42" s="592" t="s">
        <v>390</v>
      </c>
      <c r="F42" s="586">
        <v>1.2</v>
      </c>
      <c r="G42" s="276" t="str">
        <f>CONCATENATE(D42," * ",F44," * ",F45,"*",F42)</f>
        <v>11000 * 1 * 1*1,2</v>
      </c>
      <c r="H42" s="271">
        <f>ROUND(D42*F42*F45*F44,2)</f>
        <v>13200</v>
      </c>
      <c r="I42" s="526"/>
    </row>
    <row r="43" spans="1:9" x14ac:dyDescent="0.2">
      <c r="A43" s="742"/>
      <c r="B43" s="486"/>
      <c r="C43" s="487"/>
      <c r="D43" s="299"/>
      <c r="E43" s="480"/>
      <c r="F43" s="272"/>
      <c r="G43" s="277"/>
      <c r="H43" s="278"/>
      <c r="I43" s="268"/>
    </row>
    <row r="44" spans="1:9" x14ac:dyDescent="0.2">
      <c r="A44" s="742"/>
      <c r="B44" s="488" t="s">
        <v>315</v>
      </c>
      <c r="C44" s="587">
        <v>11000</v>
      </c>
      <c r="D44" s="299"/>
      <c r="E44" s="583" t="s">
        <v>285</v>
      </c>
      <c r="F44" s="584">
        <v>1</v>
      </c>
      <c r="G44" s="588"/>
      <c r="H44" s="491"/>
      <c r="I44" s="268"/>
    </row>
    <row r="45" spans="1:9" ht="13.5" thickBot="1" x14ac:dyDescent="0.25">
      <c r="A45" s="743"/>
      <c r="B45" s="492" t="s">
        <v>11</v>
      </c>
      <c r="C45" s="589"/>
      <c r="D45" s="494"/>
      <c r="E45" s="559" t="s">
        <v>283</v>
      </c>
      <c r="F45" s="274">
        <v>1</v>
      </c>
      <c r="G45" s="590"/>
      <c r="H45" s="498"/>
      <c r="I45" s="268"/>
    </row>
    <row r="46" spans="1:9" ht="14.25" thickBot="1" x14ac:dyDescent="0.3">
      <c r="A46" s="730" t="s">
        <v>342</v>
      </c>
      <c r="B46" s="731"/>
      <c r="C46" s="731"/>
      <c r="D46" s="731"/>
      <c r="E46" s="731"/>
      <c r="F46" s="731"/>
      <c r="G46" s="731"/>
      <c r="H46" s="732"/>
    </row>
    <row r="47" spans="1:9" ht="13.5" thickBot="1" x14ac:dyDescent="0.25">
      <c r="A47" s="629"/>
      <c r="B47" s="477" t="s">
        <v>312</v>
      </c>
      <c r="C47" s="478"/>
      <c r="D47" s="479"/>
      <c r="E47" s="480"/>
      <c r="F47" s="272"/>
      <c r="G47" s="481"/>
      <c r="H47" s="482"/>
    </row>
    <row r="48" spans="1:9" ht="25.5" x14ac:dyDescent="0.2">
      <c r="A48" s="776">
        <v>6</v>
      </c>
      <c r="B48" s="483" t="s">
        <v>281</v>
      </c>
      <c r="C48" s="484">
        <f>(4.2+4.6)*2*2</f>
        <v>35.200000000000003</v>
      </c>
      <c r="D48" s="270">
        <f>C50+C51*C48</f>
        <v>89000</v>
      </c>
      <c r="E48" s="557"/>
      <c r="F48" s="275"/>
      <c r="G48" s="276" t="str">
        <f>CONCATENATE(D48," * ",F49,"*",F50)</f>
        <v>89000 * 1*1</v>
      </c>
      <c r="H48" s="271">
        <f>ROUND(D48*F49*F50,2)</f>
        <v>89000</v>
      </c>
      <c r="I48" s="526"/>
    </row>
    <row r="49" spans="1:9" x14ac:dyDescent="0.2">
      <c r="A49" s="777"/>
      <c r="B49" s="486" t="s">
        <v>322</v>
      </c>
      <c r="C49" s="487"/>
      <c r="D49" s="299"/>
      <c r="E49" s="558" t="s">
        <v>282</v>
      </c>
      <c r="F49" s="274">
        <v>1</v>
      </c>
      <c r="G49" s="277"/>
      <c r="H49" s="278"/>
    </row>
    <row r="50" spans="1:9" ht="25.5" x14ac:dyDescent="0.2">
      <c r="A50" s="777"/>
      <c r="B50" s="488" t="s">
        <v>314</v>
      </c>
      <c r="C50" s="489">
        <v>89000</v>
      </c>
      <c r="D50" s="490"/>
      <c r="E50" s="559" t="s">
        <v>312</v>
      </c>
      <c r="F50" s="274">
        <v>1</v>
      </c>
      <c r="G50" s="277"/>
      <c r="H50" s="491"/>
      <c r="I50" s="527"/>
    </row>
    <row r="51" spans="1:9" ht="13.5" thickBot="1" x14ac:dyDescent="0.25">
      <c r="A51" s="778"/>
      <c r="B51" s="492" t="s">
        <v>11</v>
      </c>
      <c r="C51" s="525"/>
      <c r="D51" s="494"/>
      <c r="E51" s="495"/>
      <c r="F51" s="496"/>
      <c r="G51" s="497"/>
      <c r="H51" s="498"/>
    </row>
    <row r="52" spans="1:9" ht="13.5" thickBot="1" x14ac:dyDescent="0.25">
      <c r="A52" s="629"/>
      <c r="B52" s="477" t="s">
        <v>283</v>
      </c>
      <c r="C52" s="478"/>
      <c r="D52" s="479"/>
      <c r="E52" s="480"/>
      <c r="F52" s="272"/>
      <c r="G52" s="481"/>
      <c r="H52" s="482"/>
    </row>
    <row r="53" spans="1:9" ht="26.25" thickBot="1" x14ac:dyDescent="0.25">
      <c r="A53" s="776">
        <v>7</v>
      </c>
      <c r="B53" s="488" t="s">
        <v>284</v>
      </c>
      <c r="C53" s="560"/>
      <c r="D53" s="499">
        <f>ROUND(C55+C53*C56,2)</f>
        <v>11000</v>
      </c>
      <c r="E53" s="557"/>
      <c r="F53" s="275"/>
      <c r="G53" s="276" t="str">
        <f>CONCATENATE(D53," * ",F54,"*",F55)</f>
        <v>11000 * 1*1</v>
      </c>
      <c r="H53" s="271">
        <f>ROUND(D53*F54*F55,2)</f>
        <v>11000</v>
      </c>
      <c r="I53" s="526"/>
    </row>
    <row r="54" spans="1:9" x14ac:dyDescent="0.2">
      <c r="A54" s="777"/>
      <c r="B54" s="561"/>
      <c r="C54" s="257"/>
      <c r="D54" s="299"/>
      <c r="E54" s="558" t="s">
        <v>285</v>
      </c>
      <c r="F54" s="274">
        <v>1</v>
      </c>
      <c r="G54" s="276"/>
      <c r="H54" s="271"/>
    </row>
    <row r="55" spans="1:9" x14ac:dyDescent="0.2">
      <c r="A55" s="777"/>
      <c r="B55" s="488" t="s">
        <v>315</v>
      </c>
      <c r="C55" s="257">
        <v>11000</v>
      </c>
      <c r="D55" s="299"/>
      <c r="E55" s="559" t="s">
        <v>283</v>
      </c>
      <c r="F55" s="274">
        <v>1</v>
      </c>
      <c r="G55" s="277"/>
      <c r="H55" s="491"/>
      <c r="I55" s="527"/>
    </row>
    <row r="56" spans="1:9" ht="13.5" thickBot="1" x14ac:dyDescent="0.25">
      <c r="A56" s="778"/>
      <c r="B56" s="492" t="s">
        <v>11</v>
      </c>
      <c r="C56" s="493"/>
      <c r="D56" s="500"/>
      <c r="E56" s="501"/>
      <c r="F56" s="502"/>
      <c r="G56" s="497"/>
      <c r="H56" s="498"/>
    </row>
    <row r="57" spans="1:9" ht="14.25" customHeight="1" thickBot="1" x14ac:dyDescent="0.3">
      <c r="A57" s="730" t="s">
        <v>347</v>
      </c>
      <c r="B57" s="731"/>
      <c r="C57" s="731"/>
      <c r="D57" s="731"/>
      <c r="E57" s="731"/>
      <c r="F57" s="731"/>
      <c r="G57" s="731"/>
      <c r="H57" s="732"/>
      <c r="I57" s="268"/>
    </row>
    <row r="58" spans="1:9" ht="25.5" x14ac:dyDescent="0.2">
      <c r="A58" s="741">
        <v>8</v>
      </c>
      <c r="B58" s="483" t="s">
        <v>343</v>
      </c>
      <c r="C58" s="591">
        <f>(1.2+1.2)*2*1</f>
        <v>4.8</v>
      </c>
      <c r="D58" s="270">
        <f>ROUND(C60+C58*C61,2)</f>
        <v>59000</v>
      </c>
      <c r="E58" s="592"/>
      <c r="F58" s="586"/>
      <c r="G58" s="276" t="str">
        <f>CONCATENATE(D58," * ",F59," * ",F60)</f>
        <v>59000 * 0,1 * 3</v>
      </c>
      <c r="H58" s="271">
        <f>ROUND(D58*F59*F60,2)</f>
        <v>17700</v>
      </c>
      <c r="I58" s="268"/>
    </row>
    <row r="59" spans="1:9" x14ac:dyDescent="0.2">
      <c r="A59" s="742"/>
      <c r="B59" s="486" t="s">
        <v>344</v>
      </c>
      <c r="C59" s="487"/>
      <c r="D59" s="299"/>
      <c r="E59" s="480" t="s">
        <v>345</v>
      </c>
      <c r="F59" s="272">
        <f>ROUND(C58/50,1)</f>
        <v>0.1</v>
      </c>
      <c r="G59" s="277"/>
      <c r="H59" s="278"/>
      <c r="I59" s="268"/>
    </row>
    <row r="60" spans="1:9" ht="25.5" x14ac:dyDescent="0.2">
      <c r="A60" s="742"/>
      <c r="B60" s="488" t="s">
        <v>348</v>
      </c>
      <c r="C60" s="489">
        <v>59000</v>
      </c>
      <c r="D60" s="490"/>
      <c r="E60" s="583" t="s">
        <v>282</v>
      </c>
      <c r="F60" s="584">
        <v>3</v>
      </c>
      <c r="G60" s="588"/>
      <c r="H60" s="491"/>
      <c r="I60" s="268"/>
    </row>
    <row r="61" spans="1:9" ht="13.5" thickBot="1" x14ac:dyDescent="0.25">
      <c r="A61" s="743"/>
      <c r="B61" s="492" t="s">
        <v>11</v>
      </c>
      <c r="C61" s="589"/>
      <c r="D61" s="494"/>
      <c r="E61" s="501"/>
      <c r="F61" s="502"/>
      <c r="G61" s="590"/>
      <c r="H61" s="498"/>
      <c r="I61" s="268"/>
    </row>
    <row r="62" spans="1:9" ht="13.5" thickBot="1" x14ac:dyDescent="0.25">
      <c r="A62" s="629"/>
      <c r="B62" s="581" t="s">
        <v>346</v>
      </c>
      <c r="C62" s="582"/>
      <c r="D62" s="3"/>
      <c r="E62" s="583"/>
      <c r="F62" s="584"/>
      <c r="G62" s="294"/>
      <c r="H62" s="295"/>
      <c r="I62" s="268"/>
    </row>
    <row r="63" spans="1:9" ht="38.25" x14ac:dyDescent="0.2">
      <c r="A63" s="741">
        <v>9</v>
      </c>
      <c r="B63" s="483" t="s">
        <v>339</v>
      </c>
      <c r="C63" s="585"/>
      <c r="D63" s="270">
        <f>ROUND(C65+C63*C66,2)</f>
        <v>11000</v>
      </c>
      <c r="E63" s="592"/>
      <c r="F63" s="586"/>
      <c r="G63" s="276" t="str">
        <f>CONCATENATE(D63," * ",F65)</f>
        <v>11000 * 3</v>
      </c>
      <c r="H63" s="271">
        <f>ROUND(D63*F65,2)</f>
        <v>33000</v>
      </c>
      <c r="I63" s="268"/>
    </row>
    <row r="64" spans="1:9" x14ac:dyDescent="0.2">
      <c r="A64" s="742"/>
      <c r="B64" s="486"/>
      <c r="C64" s="487"/>
      <c r="D64" s="299"/>
      <c r="E64" s="480"/>
      <c r="F64" s="272"/>
      <c r="G64" s="277"/>
      <c r="H64" s="278"/>
      <c r="I64" s="268"/>
    </row>
    <row r="65" spans="1:9" x14ac:dyDescent="0.2">
      <c r="A65" s="742"/>
      <c r="B65" s="488" t="s">
        <v>315</v>
      </c>
      <c r="C65" s="587">
        <v>11000</v>
      </c>
      <c r="D65" s="299"/>
      <c r="E65" s="583" t="s">
        <v>285</v>
      </c>
      <c r="F65" s="584">
        <v>3</v>
      </c>
      <c r="G65" s="588"/>
      <c r="H65" s="491"/>
      <c r="I65" s="268"/>
    </row>
    <row r="66" spans="1:9" ht="13.5" thickBot="1" x14ac:dyDescent="0.25">
      <c r="A66" s="743"/>
      <c r="B66" s="492" t="s">
        <v>11</v>
      </c>
      <c r="C66" s="589"/>
      <c r="D66" s="494"/>
      <c r="E66" s="501"/>
      <c r="F66" s="502"/>
      <c r="G66" s="590"/>
      <c r="H66" s="498"/>
      <c r="I66" s="268"/>
    </row>
    <row r="67" spans="1:9" ht="14.25" customHeight="1" thickBot="1" x14ac:dyDescent="0.25">
      <c r="A67" s="779" t="s">
        <v>353</v>
      </c>
      <c r="B67" s="780"/>
      <c r="C67" s="780"/>
      <c r="D67" s="780"/>
      <c r="E67" s="780"/>
      <c r="F67" s="780"/>
      <c r="G67" s="780"/>
      <c r="H67" s="781"/>
    </row>
    <row r="68" spans="1:9" x14ac:dyDescent="0.2">
      <c r="A68" s="733">
        <v>10</v>
      </c>
      <c r="B68" s="593" t="s">
        <v>349</v>
      </c>
      <c r="C68" s="594">
        <v>40</v>
      </c>
      <c r="D68" s="595">
        <f>ROUND(C70+C68*C71,2)</f>
        <v>82000</v>
      </c>
      <c r="E68" s="592"/>
      <c r="F68" s="586"/>
      <c r="G68" s="276" t="str">
        <f>CONCATENATE(D68," * ",F69)</f>
        <v>82000 * 0,4</v>
      </c>
      <c r="H68" s="271">
        <f>ROUND(D68*F69,2)</f>
        <v>32800</v>
      </c>
    </row>
    <row r="69" spans="1:9" ht="25.5" x14ac:dyDescent="0.2">
      <c r="A69" s="734"/>
      <c r="B69" s="596" t="s">
        <v>354</v>
      </c>
      <c r="C69" s="597"/>
      <c r="D69" s="299"/>
      <c r="E69" s="647" t="s">
        <v>389</v>
      </c>
      <c r="F69" s="272">
        <v>0.4</v>
      </c>
      <c r="G69" s="279"/>
      <c r="H69" s="273"/>
    </row>
    <row r="70" spans="1:9" x14ac:dyDescent="0.2">
      <c r="A70" s="734"/>
      <c r="B70" s="598" t="s">
        <v>355</v>
      </c>
      <c r="C70" s="587">
        <v>82000</v>
      </c>
      <c r="D70" s="299"/>
      <c r="E70" s="424"/>
      <c r="F70" s="274"/>
      <c r="G70" s="279"/>
      <c r="H70" s="426"/>
      <c r="I70" s="526"/>
    </row>
    <row r="71" spans="1:9" ht="13.5" thickBot="1" x14ac:dyDescent="0.25">
      <c r="A71" s="737"/>
      <c r="B71" s="599" t="s">
        <v>11</v>
      </c>
      <c r="C71" s="600"/>
      <c r="D71" s="490"/>
      <c r="E71" s="670"/>
      <c r="F71" s="584"/>
      <c r="G71" s="588"/>
      <c r="H71" s="491"/>
    </row>
    <row r="72" spans="1:9" ht="14.25" customHeight="1" thickBot="1" x14ac:dyDescent="0.25">
      <c r="A72" s="779" t="s">
        <v>351</v>
      </c>
      <c r="B72" s="780"/>
      <c r="C72" s="780"/>
      <c r="D72" s="780"/>
      <c r="E72" s="780"/>
      <c r="F72" s="780"/>
      <c r="G72" s="780"/>
      <c r="H72" s="781"/>
    </row>
    <row r="73" spans="1:9" ht="25.5" x14ac:dyDescent="0.2">
      <c r="A73" s="741">
        <v>11</v>
      </c>
      <c r="B73" s="483" t="s">
        <v>343</v>
      </c>
      <c r="C73" s="591">
        <f>(4.2+5.4)*2*2.5</f>
        <v>48.000000000000007</v>
      </c>
      <c r="D73" s="2">
        <f>ROUND(C75+C73*C76,2)</f>
        <v>59000</v>
      </c>
      <c r="E73" s="601"/>
      <c r="F73" s="601"/>
      <c r="G73" s="601"/>
      <c r="H73" s="602"/>
    </row>
    <row r="74" spans="1:9" x14ac:dyDescent="0.2">
      <c r="A74" s="742"/>
      <c r="B74" s="486" t="s">
        <v>357</v>
      </c>
      <c r="C74" s="603"/>
      <c r="D74" s="299"/>
      <c r="E74" s="578" t="s">
        <v>282</v>
      </c>
      <c r="F74" s="274">
        <v>1</v>
      </c>
      <c r="G74" s="485" t="str">
        <f>CONCATENATE(D73," * ",F75," * ",F74)</f>
        <v>59000 * 0,4 * 1</v>
      </c>
      <c r="H74" s="273">
        <f>ROUND(D73*F75*F74,2)</f>
        <v>23600</v>
      </c>
    </row>
    <row r="75" spans="1:9" ht="25.5" x14ac:dyDescent="0.2">
      <c r="A75" s="742"/>
      <c r="B75" s="488" t="s">
        <v>348</v>
      </c>
      <c r="C75" s="587">
        <v>59000</v>
      </c>
      <c r="D75" s="3"/>
      <c r="E75" s="647" t="s">
        <v>356</v>
      </c>
      <c r="F75" s="274">
        <v>0.4</v>
      </c>
      <c r="G75" s="277"/>
      <c r="H75" s="278"/>
    </row>
    <row r="76" spans="1:9" ht="13.5" thickBot="1" x14ac:dyDescent="0.25">
      <c r="A76" s="743"/>
      <c r="B76" s="604" t="s">
        <v>11</v>
      </c>
      <c r="C76" s="489"/>
      <c r="D76" s="494"/>
      <c r="E76" s="583"/>
      <c r="F76" s="584"/>
      <c r="G76" s="588"/>
      <c r="H76" s="491"/>
    </row>
    <row r="77" spans="1:9" ht="25.5" x14ac:dyDescent="0.2">
      <c r="A77" s="741">
        <v>12</v>
      </c>
      <c r="B77" s="483" t="s">
        <v>343</v>
      </c>
      <c r="C77" s="591">
        <f>(3.2+3)*2*2</f>
        <v>24.8</v>
      </c>
      <c r="D77" s="2">
        <f>ROUND(C79+C77*C80,2)</f>
        <v>59000</v>
      </c>
      <c r="E77" s="601"/>
      <c r="F77" s="601"/>
      <c r="G77" s="601"/>
      <c r="H77" s="602"/>
    </row>
    <row r="78" spans="1:9" x14ac:dyDescent="0.2">
      <c r="A78" s="742"/>
      <c r="B78" s="486" t="s">
        <v>358</v>
      </c>
      <c r="C78" s="603"/>
      <c r="D78" s="299"/>
      <c r="E78" s="578" t="s">
        <v>282</v>
      </c>
      <c r="F78" s="274">
        <v>1</v>
      </c>
      <c r="G78" s="485" t="str">
        <f>CONCATENATE(D77," * ",F79," * ",F78)</f>
        <v>59000 * 0,4 * 1</v>
      </c>
      <c r="H78" s="273">
        <f>ROUND(D77*F79*F78,2)</f>
        <v>23600</v>
      </c>
    </row>
    <row r="79" spans="1:9" ht="25.5" x14ac:dyDescent="0.2">
      <c r="A79" s="742"/>
      <c r="B79" s="488" t="s">
        <v>348</v>
      </c>
      <c r="C79" s="587">
        <v>59000</v>
      </c>
      <c r="D79" s="3"/>
      <c r="E79" s="647" t="s">
        <v>356</v>
      </c>
      <c r="F79" s="274">
        <v>0.4</v>
      </c>
      <c r="G79" s="277"/>
      <c r="H79" s="278"/>
    </row>
    <row r="80" spans="1:9" ht="13.5" thickBot="1" x14ac:dyDescent="0.25">
      <c r="A80" s="743"/>
      <c r="B80" s="604" t="s">
        <v>11</v>
      </c>
      <c r="C80" s="525"/>
      <c r="D80" s="494"/>
      <c r="E80" s="501"/>
      <c r="F80" s="502"/>
      <c r="G80" s="590"/>
      <c r="H80" s="498"/>
    </row>
    <row r="81" spans="1:9" ht="13.5" thickBot="1" x14ac:dyDescent="0.25">
      <c r="A81" s="629"/>
      <c r="B81" s="581" t="s">
        <v>346</v>
      </c>
      <c r="C81" s="582"/>
      <c r="D81" s="3"/>
      <c r="E81" s="480"/>
      <c r="F81" s="272"/>
      <c r="G81" s="294"/>
      <c r="H81" s="295"/>
      <c r="I81" s="268"/>
    </row>
    <row r="82" spans="1:9" ht="27" customHeight="1" x14ac:dyDescent="0.2">
      <c r="A82" s="741">
        <v>13</v>
      </c>
      <c r="B82" s="483" t="s">
        <v>352</v>
      </c>
      <c r="C82" s="585"/>
      <c r="D82" s="270">
        <f>ROUND(C84+C82*C85,2)</f>
        <v>11000</v>
      </c>
      <c r="E82" s="592"/>
      <c r="F82" s="586"/>
      <c r="G82" s="276" t="str">
        <f>CONCATENATE(D82," * ",F83,"*",F84)</f>
        <v>11000 * 0,4*1</v>
      </c>
      <c r="H82" s="271">
        <f>ROUND(D82*F84*F83,2)</f>
        <v>4400</v>
      </c>
      <c r="I82" s="268"/>
    </row>
    <row r="83" spans="1:9" ht="25.5" x14ac:dyDescent="0.2">
      <c r="A83" s="742"/>
      <c r="B83" s="486"/>
      <c r="C83" s="487"/>
      <c r="D83" s="299"/>
      <c r="E83" s="647" t="s">
        <v>356</v>
      </c>
      <c r="F83" s="274">
        <v>0.4</v>
      </c>
      <c r="G83" s="277"/>
      <c r="H83" s="278"/>
      <c r="I83" s="268"/>
    </row>
    <row r="84" spans="1:9" x14ac:dyDescent="0.2">
      <c r="A84" s="742"/>
      <c r="B84" s="488" t="s">
        <v>315</v>
      </c>
      <c r="C84" s="587">
        <v>11000</v>
      </c>
      <c r="D84" s="299"/>
      <c r="E84" s="583" t="s">
        <v>285</v>
      </c>
      <c r="F84" s="584">
        <v>1</v>
      </c>
      <c r="G84" s="588"/>
      <c r="H84" s="491"/>
      <c r="I84" s="268"/>
    </row>
    <row r="85" spans="1:9" ht="13.5" thickBot="1" x14ac:dyDescent="0.25">
      <c r="A85" s="743"/>
      <c r="B85" s="492" t="s">
        <v>11</v>
      </c>
      <c r="C85" s="589"/>
      <c r="D85" s="494"/>
      <c r="E85" s="501"/>
      <c r="F85" s="502"/>
      <c r="G85" s="590"/>
      <c r="H85" s="498"/>
      <c r="I85" s="268"/>
    </row>
    <row r="86" spans="1:9" ht="14.25" thickBot="1" x14ac:dyDescent="0.3">
      <c r="A86" s="730" t="s">
        <v>186</v>
      </c>
      <c r="B86" s="731"/>
      <c r="C86" s="731"/>
      <c r="D86" s="731"/>
      <c r="E86" s="731"/>
      <c r="F86" s="731"/>
      <c r="G86" s="731"/>
      <c r="H86" s="732"/>
    </row>
    <row r="87" spans="1:9" x14ac:dyDescent="0.2">
      <c r="A87" s="733">
        <v>14</v>
      </c>
      <c r="B87" s="735" t="s">
        <v>187</v>
      </c>
      <c r="C87" s="422">
        <f>C18+C29</f>
        <v>800</v>
      </c>
      <c r="D87" s="2">
        <f>ROUND(C89+C87*C90,2)</f>
        <v>21000</v>
      </c>
      <c r="E87" s="288"/>
      <c r="F87" s="275"/>
      <c r="G87" s="276">
        <f>ROUND(D87,2)</f>
        <v>21000</v>
      </c>
      <c r="H87" s="289">
        <f>ROUND(D87,2)</f>
        <v>21000</v>
      </c>
      <c r="I87" s="504"/>
    </row>
    <row r="88" spans="1:9" ht="46.15" customHeight="1" x14ac:dyDescent="0.2">
      <c r="A88" s="734"/>
      <c r="B88" s="736"/>
      <c r="C88" s="423"/>
      <c r="D88" s="3"/>
      <c r="E88" s="424"/>
      <c r="F88" s="272"/>
      <c r="G88" s="290"/>
      <c r="H88" s="4"/>
    </row>
    <row r="89" spans="1:9" x14ac:dyDescent="0.2">
      <c r="A89" s="734"/>
      <c r="B89" s="632" t="s">
        <v>317</v>
      </c>
      <c r="C89" s="425">
        <v>21000</v>
      </c>
      <c r="D89" s="3"/>
      <c r="E89" s="424"/>
      <c r="F89" s="291"/>
      <c r="G89" s="290"/>
      <c r="H89" s="292"/>
      <c r="I89" s="527"/>
    </row>
    <row r="90" spans="1:9" ht="13.5" thickBot="1" x14ac:dyDescent="0.25">
      <c r="A90" s="734"/>
      <c r="B90" s="293" t="s">
        <v>11</v>
      </c>
      <c r="C90" s="425"/>
      <c r="D90" s="3"/>
      <c r="E90" s="424"/>
      <c r="F90" s="291"/>
      <c r="G90" s="294"/>
      <c r="H90" s="295"/>
    </row>
    <row r="91" spans="1:9" ht="15" customHeight="1" thickBot="1" x14ac:dyDescent="0.25">
      <c r="A91" s="727" t="s">
        <v>391</v>
      </c>
      <c r="B91" s="728"/>
      <c r="C91" s="728"/>
      <c r="D91" s="728"/>
      <c r="E91" s="728"/>
      <c r="F91" s="728"/>
      <c r="G91" s="728"/>
      <c r="H91" s="729"/>
      <c r="I91" s="526"/>
    </row>
    <row r="92" spans="1:9" ht="14.25" customHeight="1" thickBot="1" x14ac:dyDescent="0.3">
      <c r="A92" s="730" t="s">
        <v>360</v>
      </c>
      <c r="B92" s="731"/>
      <c r="C92" s="731"/>
      <c r="D92" s="731"/>
      <c r="E92" s="731"/>
      <c r="F92" s="731"/>
      <c r="G92" s="731"/>
      <c r="H92" s="732"/>
      <c r="I92" s="268"/>
    </row>
    <row r="93" spans="1:9" x14ac:dyDescent="0.2">
      <c r="A93" s="733">
        <v>15</v>
      </c>
      <c r="B93" s="280" t="s">
        <v>185</v>
      </c>
      <c r="C93" s="281">
        <f>C97+C98+C99</f>
        <v>200</v>
      </c>
      <c r="D93" s="270">
        <f>ROUND(C95+C93*C96,2)</f>
        <v>332200</v>
      </c>
      <c r="E93" s="667"/>
      <c r="F93" s="668"/>
      <c r="G93" s="282"/>
      <c r="H93" s="271"/>
      <c r="I93" s="268"/>
    </row>
    <row r="94" spans="1:9" ht="25.5" x14ac:dyDescent="0.2">
      <c r="A94" s="734"/>
      <c r="B94" s="283" t="s">
        <v>361</v>
      </c>
      <c r="C94" s="284"/>
      <c r="D94" s="299"/>
      <c r="E94" s="647" t="s">
        <v>319</v>
      </c>
      <c r="F94" s="274">
        <v>1.1000000000000001</v>
      </c>
      <c r="G94" s="279"/>
      <c r="H94" s="273"/>
      <c r="I94" s="268"/>
    </row>
    <row r="95" spans="1:9" ht="25.5" x14ac:dyDescent="0.2">
      <c r="A95" s="734"/>
      <c r="B95" s="285" t="s">
        <v>331</v>
      </c>
      <c r="C95" s="257">
        <v>179000</v>
      </c>
      <c r="D95" s="299"/>
      <c r="E95" s="647" t="s">
        <v>318</v>
      </c>
      <c r="F95" s="274">
        <v>1.1499999999999999</v>
      </c>
      <c r="G95" s="279"/>
      <c r="H95" s="426"/>
      <c r="I95" s="526"/>
    </row>
    <row r="96" spans="1:9" x14ac:dyDescent="0.2">
      <c r="A96" s="734"/>
      <c r="B96" s="286" t="s">
        <v>11</v>
      </c>
      <c r="C96" s="257">
        <v>766</v>
      </c>
      <c r="D96" s="299"/>
      <c r="E96" s="647"/>
      <c r="F96" s="274"/>
      <c r="G96" s="277"/>
      <c r="H96" s="278"/>
      <c r="I96" s="268"/>
    </row>
    <row r="97" spans="1:24" x14ac:dyDescent="0.2">
      <c r="A97" s="734"/>
      <c r="B97" s="427" t="s">
        <v>327</v>
      </c>
      <c r="C97" s="300">
        <v>60</v>
      </c>
      <c r="D97" s="299"/>
      <c r="E97" s="647"/>
      <c r="F97" s="274"/>
      <c r="G97" s="287" t="str">
        <f>CONCATENATE(D93,"*",F94,"*",F95,"*",C97,"/",C93)</f>
        <v>332200*1,1*1,15*60/200</v>
      </c>
      <c r="H97" s="273">
        <f>ROUND(D93*F94*F95*C97/C93,2)</f>
        <v>126069.9</v>
      </c>
      <c r="I97" s="268"/>
    </row>
    <row r="98" spans="1:24" x14ac:dyDescent="0.2">
      <c r="A98" s="734"/>
      <c r="B98" s="427" t="s">
        <v>328</v>
      </c>
      <c r="C98" s="300">
        <v>80</v>
      </c>
      <c r="D98" s="299"/>
      <c r="E98" s="647"/>
      <c r="F98" s="274"/>
      <c r="G98" s="287" t="str">
        <f>CONCATENATE(D93,"*",F94,"*",C98,"/",C93)</f>
        <v>332200*1,1*80/200</v>
      </c>
      <c r="H98" s="273">
        <f>ROUND(D93*F94*C98/C93,2)</f>
        <v>146168</v>
      </c>
      <c r="I98" s="268"/>
    </row>
    <row r="99" spans="1:24" ht="13.5" thickBot="1" x14ac:dyDescent="0.25">
      <c r="A99" s="737"/>
      <c r="B99" s="427" t="s">
        <v>329</v>
      </c>
      <c r="C99" s="300">
        <v>60</v>
      </c>
      <c r="D99" s="299"/>
      <c r="E99" s="647"/>
      <c r="F99" s="274"/>
      <c r="G99" s="287" t="str">
        <f>CONCATENATE(D93,"*",F94,"*",C99,"/",C93)</f>
        <v>332200*1,1*60/200</v>
      </c>
      <c r="H99" s="273">
        <f>ROUND(D93*F94*C99/C93,2)</f>
        <v>109626</v>
      </c>
      <c r="I99" s="648"/>
    </row>
    <row r="100" spans="1:24" ht="14.25" customHeight="1" thickBot="1" x14ac:dyDescent="0.3">
      <c r="A100" s="730" t="s">
        <v>325</v>
      </c>
      <c r="B100" s="731"/>
      <c r="C100" s="731"/>
      <c r="D100" s="731"/>
      <c r="E100" s="731"/>
      <c r="F100" s="731"/>
      <c r="G100" s="731"/>
      <c r="H100" s="732"/>
      <c r="I100" s="268"/>
    </row>
    <row r="101" spans="1:24" x14ac:dyDescent="0.2">
      <c r="A101" s="733">
        <v>16</v>
      </c>
      <c r="B101" s="280" t="s">
        <v>185</v>
      </c>
      <c r="C101" s="281">
        <f>C105+C106+C107</f>
        <v>150</v>
      </c>
      <c r="D101" s="270">
        <f>ROUND(C103+C101*C104,2)</f>
        <v>155600</v>
      </c>
      <c r="E101" s="667"/>
      <c r="F101" s="668"/>
      <c r="G101" s="282"/>
      <c r="H101" s="271"/>
      <c r="I101" s="268"/>
    </row>
    <row r="102" spans="1:24" ht="25.5" x14ac:dyDescent="0.2">
      <c r="A102" s="734"/>
      <c r="B102" s="283" t="s">
        <v>326</v>
      </c>
      <c r="C102" s="284"/>
      <c r="D102" s="299"/>
      <c r="E102" s="647" t="s">
        <v>319</v>
      </c>
      <c r="F102" s="274">
        <v>1.1000000000000001</v>
      </c>
      <c r="G102" s="279"/>
      <c r="H102" s="273"/>
      <c r="I102" s="268"/>
    </row>
    <row r="103" spans="1:24" ht="25.5" x14ac:dyDescent="0.2">
      <c r="A103" s="734"/>
      <c r="B103" s="285" t="s">
        <v>355</v>
      </c>
      <c r="C103" s="257">
        <v>98000</v>
      </c>
      <c r="D103" s="299"/>
      <c r="E103" s="647" t="s">
        <v>318</v>
      </c>
      <c r="F103" s="274">
        <v>1.1499999999999999</v>
      </c>
      <c r="G103" s="279"/>
      <c r="H103" s="426"/>
      <c r="I103" s="526"/>
    </row>
    <row r="104" spans="1:24" x14ac:dyDescent="0.2">
      <c r="A104" s="734"/>
      <c r="B104" s="286" t="s">
        <v>11</v>
      </c>
      <c r="C104" s="257">
        <v>384</v>
      </c>
      <c r="D104" s="299"/>
      <c r="E104" s="647"/>
      <c r="F104" s="274"/>
      <c r="G104" s="277"/>
      <c r="H104" s="278"/>
      <c r="I104" s="268"/>
    </row>
    <row r="105" spans="1:24" x14ac:dyDescent="0.2">
      <c r="A105" s="734"/>
      <c r="B105" s="427" t="s">
        <v>327</v>
      </c>
      <c r="C105" s="300">
        <v>40</v>
      </c>
      <c r="D105" s="299"/>
      <c r="E105" s="647"/>
      <c r="F105" s="274"/>
      <c r="G105" s="287" t="str">
        <f>CONCATENATE(D101,"*",F102,"*",F103,"*",C105,"/",C101)</f>
        <v>155600*1,1*1,15*40/150</v>
      </c>
      <c r="H105" s="273">
        <f>ROUND(D101*F102*F103*C105/C101,2)</f>
        <v>52489.07</v>
      </c>
      <c r="I105" s="268"/>
    </row>
    <row r="106" spans="1:24" x14ac:dyDescent="0.2">
      <c r="A106" s="734"/>
      <c r="B106" s="427" t="s">
        <v>328</v>
      </c>
      <c r="C106" s="300">
        <v>70</v>
      </c>
      <c r="D106" s="299"/>
      <c r="E106" s="647"/>
      <c r="F106" s="274"/>
      <c r="G106" s="287" t="str">
        <f>CONCATENATE(D101,"*",F102,"*",C106,"/",C101)</f>
        <v>155600*1,1*70/150</v>
      </c>
      <c r="H106" s="273">
        <f>ROUND(D101*F102*C106/C101,2)</f>
        <v>79874.67</v>
      </c>
      <c r="I106" s="268"/>
    </row>
    <row r="107" spans="1:24" ht="13.5" thickBot="1" x14ac:dyDescent="0.25">
      <c r="A107" s="737"/>
      <c r="B107" s="427" t="s">
        <v>329</v>
      </c>
      <c r="C107" s="300">
        <v>40</v>
      </c>
      <c r="D107" s="299"/>
      <c r="E107" s="647"/>
      <c r="F107" s="274"/>
      <c r="G107" s="287" t="str">
        <f>CONCATENATE(D101,"*",F102,"*",C107,"/",C101)</f>
        <v>155600*1,1*40/150</v>
      </c>
      <c r="H107" s="273">
        <f>ROUND(D101*F102*C107/C101,2)</f>
        <v>45642.67</v>
      </c>
      <c r="I107" s="648"/>
    </row>
    <row r="108" spans="1:24" x14ac:dyDescent="0.2">
      <c r="A108" s="733">
        <v>17</v>
      </c>
      <c r="B108" s="570" t="s">
        <v>330</v>
      </c>
      <c r="C108" s="422">
        <f>C99+C107</f>
        <v>100</v>
      </c>
      <c r="D108" s="2">
        <f>ROUND(C109+C108*C110,2)</f>
        <v>263800</v>
      </c>
      <c r="E108" s="288"/>
      <c r="F108" s="275"/>
      <c r="G108" s="276"/>
      <c r="H108" s="289"/>
      <c r="I108" s="268"/>
    </row>
    <row r="109" spans="1:24" ht="25.5" x14ac:dyDescent="0.2">
      <c r="A109" s="734"/>
      <c r="B109" s="632" t="s">
        <v>332</v>
      </c>
      <c r="C109" s="571">
        <v>52200</v>
      </c>
      <c r="D109" s="3"/>
      <c r="E109" s="424" t="s">
        <v>337</v>
      </c>
      <c r="F109" s="272">
        <v>0.6</v>
      </c>
      <c r="G109" s="572" t="str">
        <f>CONCATENATE(D108,"*",F109)</f>
        <v>263800*0,6</v>
      </c>
      <c r="H109" s="4">
        <f>ROUND(D108*F109,2)</f>
        <v>158280</v>
      </c>
      <c r="I109" s="268"/>
    </row>
    <row r="110" spans="1:24" ht="13.5" thickBot="1" x14ac:dyDescent="0.25">
      <c r="A110" s="737"/>
      <c r="B110" s="573" t="s">
        <v>11</v>
      </c>
      <c r="C110" s="574">
        <v>2116</v>
      </c>
      <c r="D110" s="500"/>
      <c r="E110" s="669"/>
      <c r="F110" s="216"/>
      <c r="G110" s="481"/>
      <c r="H110" s="482"/>
      <c r="I110" s="575"/>
      <c r="J110" s="575"/>
      <c r="K110" s="575"/>
      <c r="L110" s="575"/>
      <c r="M110" s="575"/>
      <c r="N110" s="575"/>
      <c r="O110" s="576"/>
      <c r="P110" s="576"/>
      <c r="Q110" s="576"/>
      <c r="R110" s="576"/>
      <c r="S110" s="576"/>
      <c r="T110" s="576"/>
      <c r="U110" s="576"/>
      <c r="V110" s="576"/>
      <c r="W110" s="576"/>
      <c r="X110" s="576"/>
    </row>
    <row r="111" spans="1:24" ht="14.25" customHeight="1" thickBot="1" x14ac:dyDescent="0.3">
      <c r="A111" s="730" t="s">
        <v>333</v>
      </c>
      <c r="B111" s="731"/>
      <c r="C111" s="731"/>
      <c r="D111" s="731"/>
      <c r="E111" s="731"/>
      <c r="F111" s="731"/>
      <c r="G111" s="731"/>
      <c r="H111" s="732"/>
    </row>
    <row r="112" spans="1:24" x14ac:dyDescent="0.2">
      <c r="A112" s="733">
        <v>18</v>
      </c>
      <c r="B112" s="280" t="s">
        <v>185</v>
      </c>
      <c r="C112" s="281">
        <f>C117+C116</f>
        <v>320</v>
      </c>
      <c r="D112" s="270">
        <f>ROUND(C114+C112*C115,2)</f>
        <v>89160</v>
      </c>
      <c r="E112" s="667"/>
      <c r="F112" s="668"/>
      <c r="G112" s="282"/>
      <c r="H112" s="271"/>
    </row>
    <row r="113" spans="1:9" ht="25.5" x14ac:dyDescent="0.2">
      <c r="A113" s="734"/>
      <c r="B113" s="283" t="s">
        <v>335</v>
      </c>
      <c r="C113" s="284"/>
      <c r="D113" s="299"/>
      <c r="E113" s="647" t="s">
        <v>319</v>
      </c>
      <c r="F113" s="274">
        <v>1.1000000000000001</v>
      </c>
      <c r="G113" s="279"/>
      <c r="H113" s="273"/>
    </row>
    <row r="114" spans="1:9" ht="25.5" x14ac:dyDescent="0.2">
      <c r="A114" s="734"/>
      <c r="B114" s="285" t="s">
        <v>313</v>
      </c>
      <c r="C114" s="257">
        <v>21000</v>
      </c>
      <c r="D114" s="299"/>
      <c r="E114" s="647" t="s">
        <v>318</v>
      </c>
      <c r="F114" s="274">
        <v>1.1499999999999999</v>
      </c>
      <c r="G114" s="279"/>
      <c r="H114" s="426"/>
    </row>
    <row r="115" spans="1:9" x14ac:dyDescent="0.2">
      <c r="A115" s="734"/>
      <c r="B115" s="286" t="s">
        <v>11</v>
      </c>
      <c r="C115" s="257">
        <v>213</v>
      </c>
      <c r="D115" s="299"/>
      <c r="E115" s="647"/>
      <c r="F115" s="274"/>
      <c r="G115" s="277"/>
      <c r="H115" s="278"/>
    </row>
    <row r="116" spans="1:9" ht="20.25" customHeight="1" x14ac:dyDescent="0.2">
      <c r="A116" s="734"/>
      <c r="B116" s="577" t="s">
        <v>328</v>
      </c>
      <c r="C116" s="300">
        <v>140</v>
      </c>
      <c r="E116" s="647"/>
      <c r="F116" s="274"/>
      <c r="G116" s="287" t="str">
        <f>CONCATENATE(D112,"*",F113,"*",C116,"/",C112)</f>
        <v>89160*1,1*140/320</v>
      </c>
      <c r="H116" s="273">
        <f>ROUND(D112*F113*C116/C112,2)</f>
        <v>42908.25</v>
      </c>
    </row>
    <row r="117" spans="1:9" ht="13.5" thickBot="1" x14ac:dyDescent="0.25">
      <c r="A117" s="737"/>
      <c r="B117" s="427" t="s">
        <v>327</v>
      </c>
      <c r="C117" s="300">
        <v>180</v>
      </c>
      <c r="D117" s="299"/>
      <c r="E117" s="647"/>
      <c r="F117" s="274"/>
      <c r="G117" s="287" t="str">
        <f>CONCATENATE(D112,"*",F113,"*",F114,"*",C117,"/",C112)</f>
        <v>89160*1,1*1,15*180/320</v>
      </c>
      <c r="H117" s="273">
        <f>ROUND(D112*F113*F114*C117/C112,2)</f>
        <v>63442.91</v>
      </c>
    </row>
    <row r="118" spans="1:9" ht="15.75" customHeight="1" thickBot="1" x14ac:dyDescent="0.3">
      <c r="A118" s="738" t="s">
        <v>338</v>
      </c>
      <c r="B118" s="739"/>
      <c r="C118" s="739"/>
      <c r="D118" s="739"/>
      <c r="E118" s="739"/>
      <c r="F118" s="739"/>
      <c r="G118" s="739"/>
      <c r="H118" s="740"/>
    </row>
    <row r="119" spans="1:9" ht="13.5" thickBot="1" x14ac:dyDescent="0.25">
      <c r="A119" s="629"/>
      <c r="B119" s="477" t="s">
        <v>312</v>
      </c>
      <c r="C119" s="478"/>
      <c r="D119" s="479"/>
      <c r="E119" s="480"/>
      <c r="F119" s="272"/>
      <c r="G119" s="481"/>
      <c r="H119" s="482"/>
    </row>
    <row r="120" spans="1:9" ht="25.5" x14ac:dyDescent="0.2">
      <c r="A120" s="741">
        <v>19</v>
      </c>
      <c r="B120" s="483" t="s">
        <v>281</v>
      </c>
      <c r="C120" s="484">
        <f>(5.2+5.6)*2*2</f>
        <v>43.2</v>
      </c>
      <c r="D120" s="270">
        <f>C122+C123*C120</f>
        <v>89000</v>
      </c>
      <c r="E120" s="288" t="s">
        <v>390</v>
      </c>
      <c r="F120" s="275">
        <v>1.2</v>
      </c>
      <c r="G120" s="276" t="str">
        <f>CONCATENATE(D120," * ",F120," * ",F121,"*",F122)</f>
        <v>89000 * 1,2 * 1*1</v>
      </c>
      <c r="H120" s="271">
        <f>ROUND(D120*F120*F121*F122,2)</f>
        <v>106800</v>
      </c>
      <c r="I120" s="526"/>
    </row>
    <row r="121" spans="1:9" x14ac:dyDescent="0.2">
      <c r="A121" s="742"/>
      <c r="B121" s="486" t="s">
        <v>362</v>
      </c>
      <c r="C121" s="487"/>
      <c r="D121" s="299"/>
      <c r="E121" s="578" t="s">
        <v>282</v>
      </c>
      <c r="F121" s="274">
        <v>1</v>
      </c>
      <c r="G121" s="277"/>
      <c r="H121" s="278"/>
    </row>
    <row r="122" spans="1:9" ht="25.5" x14ac:dyDescent="0.2">
      <c r="A122" s="742"/>
      <c r="B122" s="488" t="s">
        <v>314</v>
      </c>
      <c r="C122" s="489">
        <v>89000</v>
      </c>
      <c r="D122" s="490"/>
      <c r="E122" s="579" t="s">
        <v>312</v>
      </c>
      <c r="F122" s="274">
        <v>1</v>
      </c>
      <c r="G122" s="277"/>
      <c r="H122" s="491"/>
    </row>
    <row r="123" spans="1:9" ht="13.5" thickBot="1" x14ac:dyDescent="0.25">
      <c r="A123" s="743"/>
      <c r="B123" s="492" t="s">
        <v>11</v>
      </c>
      <c r="C123" s="525"/>
      <c r="D123" s="494"/>
      <c r="E123" s="559"/>
      <c r="F123" s="274"/>
      <c r="G123" s="497"/>
      <c r="H123" s="498"/>
    </row>
    <row r="124" spans="1:9" ht="13.5" thickBot="1" x14ac:dyDescent="0.25">
      <c r="A124" s="629"/>
      <c r="B124" s="477" t="s">
        <v>283</v>
      </c>
      <c r="C124" s="478"/>
      <c r="D124" s="479"/>
      <c r="E124" s="480"/>
      <c r="F124" s="272"/>
      <c r="G124" s="481"/>
      <c r="H124" s="482"/>
    </row>
    <row r="125" spans="1:9" ht="25.5" x14ac:dyDescent="0.2">
      <c r="A125" s="741">
        <v>20</v>
      </c>
      <c r="B125" s="488" t="s">
        <v>284</v>
      </c>
      <c r="C125" s="560">
        <v>700</v>
      </c>
      <c r="D125" s="499">
        <f>ROUND(C127+C125*C128,2)</f>
        <v>76500</v>
      </c>
      <c r="E125" s="288" t="s">
        <v>390</v>
      </c>
      <c r="F125" s="275">
        <v>1.2</v>
      </c>
      <c r="G125" s="276" t="str">
        <f>CONCATENATE(D125," * ",F125," * ",F126,"*",F127)</f>
        <v>76500 * 1,2 * 1*1</v>
      </c>
      <c r="H125" s="271">
        <f>ROUND(D125*F125*F126*F127,2)</f>
        <v>91800</v>
      </c>
      <c r="I125" s="526"/>
    </row>
    <row r="126" spans="1:9" ht="25.5" x14ac:dyDescent="0.2">
      <c r="A126" s="742"/>
      <c r="B126" s="561" t="s">
        <v>363</v>
      </c>
      <c r="C126" s="257"/>
      <c r="D126" s="299"/>
      <c r="E126" s="578" t="s">
        <v>285</v>
      </c>
      <c r="F126" s="274">
        <v>1</v>
      </c>
      <c r="G126" s="277"/>
      <c r="H126" s="278"/>
    </row>
    <row r="127" spans="1:9" x14ac:dyDescent="0.2">
      <c r="A127" s="742"/>
      <c r="B127" s="488" t="s">
        <v>364</v>
      </c>
      <c r="C127" s="257">
        <v>13500</v>
      </c>
      <c r="D127" s="299"/>
      <c r="E127" s="579" t="s">
        <v>283</v>
      </c>
      <c r="F127" s="274">
        <v>1</v>
      </c>
      <c r="G127" s="277"/>
      <c r="H127" s="491"/>
    </row>
    <row r="128" spans="1:9" ht="13.5" thickBot="1" x14ac:dyDescent="0.25">
      <c r="A128" s="743"/>
      <c r="B128" s="492" t="s">
        <v>11</v>
      </c>
      <c r="C128" s="493">
        <v>90</v>
      </c>
      <c r="D128" s="500"/>
      <c r="E128" s="605"/>
      <c r="F128" s="272"/>
      <c r="G128" s="497"/>
      <c r="H128" s="498"/>
      <c r="I128" s="526"/>
    </row>
    <row r="129" spans="1:9" ht="14.25" thickBot="1" x14ac:dyDescent="0.3">
      <c r="A129" s="730" t="s">
        <v>365</v>
      </c>
      <c r="B129" s="731"/>
      <c r="C129" s="731"/>
      <c r="D129" s="731"/>
      <c r="E129" s="731"/>
      <c r="F129" s="731"/>
      <c r="G129" s="731"/>
      <c r="H129" s="732"/>
    </row>
    <row r="130" spans="1:9" ht="13.5" thickBot="1" x14ac:dyDescent="0.25">
      <c r="A130" s="629"/>
      <c r="B130" s="477" t="s">
        <v>312</v>
      </c>
      <c r="C130" s="478"/>
      <c r="D130" s="479"/>
      <c r="E130" s="480"/>
      <c r="F130" s="272"/>
      <c r="G130" s="481"/>
      <c r="H130" s="482"/>
    </row>
    <row r="131" spans="1:9" ht="25.5" x14ac:dyDescent="0.2">
      <c r="A131" s="776">
        <v>21</v>
      </c>
      <c r="B131" s="483" t="s">
        <v>281</v>
      </c>
      <c r="C131" s="484">
        <f>(4.2+3.6)*2*2</f>
        <v>31.200000000000003</v>
      </c>
      <c r="D131" s="270">
        <f>C133+C134*C131</f>
        <v>89000</v>
      </c>
      <c r="E131" s="557"/>
      <c r="F131" s="275"/>
      <c r="G131" s="276" t="str">
        <f>CONCATENATE(D131," * ",F132,"*",F133)</f>
        <v>89000 * 1*1</v>
      </c>
      <c r="H131" s="271">
        <f>ROUND(D131*F132*F133,2)</f>
        <v>89000</v>
      </c>
      <c r="I131" s="526"/>
    </row>
    <row r="132" spans="1:9" x14ac:dyDescent="0.2">
      <c r="A132" s="777"/>
      <c r="B132" s="486" t="s">
        <v>366</v>
      </c>
      <c r="C132" s="487"/>
      <c r="D132" s="299"/>
      <c r="E132" s="558" t="s">
        <v>282</v>
      </c>
      <c r="F132" s="274">
        <v>1</v>
      </c>
      <c r="G132" s="277"/>
      <c r="H132" s="278"/>
    </row>
    <row r="133" spans="1:9" ht="25.5" x14ac:dyDescent="0.2">
      <c r="A133" s="777"/>
      <c r="B133" s="488" t="s">
        <v>314</v>
      </c>
      <c r="C133" s="489">
        <v>89000</v>
      </c>
      <c r="D133" s="490"/>
      <c r="E133" s="559" t="s">
        <v>312</v>
      </c>
      <c r="F133" s="274">
        <v>1</v>
      </c>
      <c r="G133" s="277"/>
      <c r="H133" s="491"/>
      <c r="I133" s="527"/>
    </row>
    <row r="134" spans="1:9" ht="13.5" thickBot="1" x14ac:dyDescent="0.25">
      <c r="A134" s="778"/>
      <c r="B134" s="492" t="s">
        <v>11</v>
      </c>
      <c r="C134" s="525"/>
      <c r="D134" s="494"/>
      <c r="E134" s="495"/>
      <c r="F134" s="496"/>
      <c r="G134" s="497"/>
      <c r="H134" s="498"/>
    </row>
    <row r="135" spans="1:9" ht="13.5" thickBot="1" x14ac:dyDescent="0.25">
      <c r="A135" s="629"/>
      <c r="B135" s="477" t="s">
        <v>283</v>
      </c>
      <c r="C135" s="478"/>
      <c r="D135" s="479"/>
      <c r="E135" s="480"/>
      <c r="F135" s="272"/>
      <c r="G135" s="481"/>
      <c r="H135" s="482"/>
    </row>
    <row r="136" spans="1:9" ht="26.25" thickBot="1" x14ac:dyDescent="0.25">
      <c r="A136" s="776">
        <v>22</v>
      </c>
      <c r="B136" s="488" t="s">
        <v>284</v>
      </c>
      <c r="C136" s="560"/>
      <c r="D136" s="499">
        <f>ROUND(C138+C136*C139,2)</f>
        <v>11000</v>
      </c>
      <c r="E136" s="557"/>
      <c r="F136" s="275"/>
      <c r="G136" s="276" t="str">
        <f>CONCATENATE(D136," * ",F137,"*",F138)</f>
        <v>11000 * 1*1</v>
      </c>
      <c r="H136" s="271">
        <f>ROUND(D136*F137*F138,2)</f>
        <v>11000</v>
      </c>
      <c r="I136" s="526"/>
    </row>
    <row r="137" spans="1:9" x14ac:dyDescent="0.2">
      <c r="A137" s="777"/>
      <c r="B137" s="561"/>
      <c r="C137" s="257"/>
      <c r="D137" s="299"/>
      <c r="E137" s="558" t="s">
        <v>285</v>
      </c>
      <c r="F137" s="274">
        <v>1</v>
      </c>
      <c r="G137" s="276"/>
      <c r="H137" s="271"/>
    </row>
    <row r="138" spans="1:9" x14ac:dyDescent="0.2">
      <c r="A138" s="777"/>
      <c r="B138" s="488" t="s">
        <v>315</v>
      </c>
      <c r="C138" s="257">
        <v>11000</v>
      </c>
      <c r="D138" s="299"/>
      <c r="E138" s="559" t="s">
        <v>283</v>
      </c>
      <c r="F138" s="274">
        <v>1</v>
      </c>
      <c r="G138" s="277"/>
      <c r="H138" s="491"/>
      <c r="I138" s="527"/>
    </row>
    <row r="139" spans="1:9" ht="13.5" thickBot="1" x14ac:dyDescent="0.25">
      <c r="A139" s="778"/>
      <c r="B139" s="492" t="s">
        <v>11</v>
      </c>
      <c r="C139" s="493"/>
      <c r="D139" s="500"/>
      <c r="E139" s="501"/>
      <c r="F139" s="502"/>
      <c r="G139" s="497"/>
      <c r="H139" s="498"/>
    </row>
    <row r="140" spans="1:9" ht="14.25" customHeight="1" thickBot="1" x14ac:dyDescent="0.3">
      <c r="A140" s="730" t="s">
        <v>367</v>
      </c>
      <c r="B140" s="731"/>
      <c r="C140" s="731"/>
      <c r="D140" s="731"/>
      <c r="E140" s="731"/>
      <c r="F140" s="731"/>
      <c r="G140" s="731"/>
      <c r="H140" s="732"/>
      <c r="I140" s="268"/>
    </row>
    <row r="141" spans="1:9" ht="25.5" x14ac:dyDescent="0.2">
      <c r="A141" s="741">
        <v>23</v>
      </c>
      <c r="B141" s="483" t="s">
        <v>343</v>
      </c>
      <c r="C141" s="591">
        <f>(1.2+1.2)*2*1</f>
        <v>4.8</v>
      </c>
      <c r="D141" s="270">
        <f>ROUND(C143+C141*C144,2)</f>
        <v>59000</v>
      </c>
      <c r="E141" s="592"/>
      <c r="F141" s="586"/>
      <c r="G141" s="276" t="str">
        <f>CONCATENATE(D141," * ",F142," * ",F143)</f>
        <v>59000 * 0,1 * 7</v>
      </c>
      <c r="H141" s="271">
        <f>ROUND(D141*F142*F143,2)</f>
        <v>41300</v>
      </c>
      <c r="I141" s="268"/>
    </row>
    <row r="142" spans="1:9" x14ac:dyDescent="0.2">
      <c r="A142" s="742"/>
      <c r="B142" s="486" t="s">
        <v>344</v>
      </c>
      <c r="C142" s="487"/>
      <c r="D142" s="299"/>
      <c r="E142" s="480" t="s">
        <v>345</v>
      </c>
      <c r="F142" s="272">
        <f>ROUND(C141/50,1)</f>
        <v>0.1</v>
      </c>
      <c r="G142" s="277"/>
      <c r="H142" s="278"/>
      <c r="I142" s="268"/>
    </row>
    <row r="143" spans="1:9" ht="25.5" x14ac:dyDescent="0.2">
      <c r="A143" s="742"/>
      <c r="B143" s="488" t="s">
        <v>348</v>
      </c>
      <c r="C143" s="489">
        <v>59000</v>
      </c>
      <c r="D143" s="490"/>
      <c r="E143" s="583" t="s">
        <v>282</v>
      </c>
      <c r="F143" s="584">
        <v>7</v>
      </c>
      <c r="G143" s="588"/>
      <c r="H143" s="491"/>
      <c r="I143" s="268"/>
    </row>
    <row r="144" spans="1:9" ht="13.5" thickBot="1" x14ac:dyDescent="0.25">
      <c r="A144" s="743"/>
      <c r="B144" s="492" t="s">
        <v>11</v>
      </c>
      <c r="C144" s="589"/>
      <c r="D144" s="494"/>
      <c r="E144" s="501"/>
      <c r="F144" s="502"/>
      <c r="G144" s="590"/>
      <c r="H144" s="498"/>
      <c r="I144" s="268"/>
    </row>
    <row r="145" spans="1:9" ht="13.5" thickBot="1" x14ac:dyDescent="0.25">
      <c r="A145" s="629"/>
      <c r="B145" s="581" t="s">
        <v>346</v>
      </c>
      <c r="C145" s="582"/>
      <c r="D145" s="3"/>
      <c r="E145" s="583"/>
      <c r="F145" s="584"/>
      <c r="G145" s="294"/>
      <c r="H145" s="295"/>
      <c r="I145" s="268"/>
    </row>
    <row r="146" spans="1:9" ht="38.25" x14ac:dyDescent="0.2">
      <c r="A146" s="741">
        <v>24</v>
      </c>
      <c r="B146" s="483" t="s">
        <v>339</v>
      </c>
      <c r="C146" s="585"/>
      <c r="D146" s="270">
        <f>ROUND(C148+C146*C149,2)</f>
        <v>11000</v>
      </c>
      <c r="E146" s="592"/>
      <c r="F146" s="586"/>
      <c r="G146" s="276" t="str">
        <f>CONCATENATE(D146," * ",F148)</f>
        <v>11000 * 7</v>
      </c>
      <c r="H146" s="271">
        <f>ROUND(D146*F148,2)</f>
        <v>77000</v>
      </c>
      <c r="I146" s="268"/>
    </row>
    <row r="147" spans="1:9" x14ac:dyDescent="0.2">
      <c r="A147" s="742"/>
      <c r="B147" s="486"/>
      <c r="C147" s="487"/>
      <c r="D147" s="299"/>
      <c r="E147" s="480"/>
      <c r="F147" s="272"/>
      <c r="G147" s="277"/>
      <c r="H147" s="278"/>
      <c r="I147" s="268"/>
    </row>
    <row r="148" spans="1:9" x14ac:dyDescent="0.2">
      <c r="A148" s="742"/>
      <c r="B148" s="488" t="s">
        <v>315</v>
      </c>
      <c r="C148" s="587">
        <v>11000</v>
      </c>
      <c r="D148" s="299"/>
      <c r="E148" s="583" t="s">
        <v>285</v>
      </c>
      <c r="F148" s="584">
        <v>7</v>
      </c>
      <c r="G148" s="588"/>
      <c r="H148" s="491"/>
      <c r="I148" s="268"/>
    </row>
    <row r="149" spans="1:9" ht="13.5" thickBot="1" x14ac:dyDescent="0.25">
      <c r="A149" s="743"/>
      <c r="B149" s="492" t="s">
        <v>11</v>
      </c>
      <c r="C149" s="589"/>
      <c r="D149" s="494"/>
      <c r="E149" s="501"/>
      <c r="F149" s="502"/>
      <c r="G149" s="590"/>
      <c r="H149" s="498"/>
      <c r="I149" s="268"/>
    </row>
    <row r="150" spans="1:9" ht="14.25" thickBot="1" x14ac:dyDescent="0.3">
      <c r="A150" s="730" t="s">
        <v>368</v>
      </c>
      <c r="B150" s="731"/>
      <c r="C150" s="731"/>
      <c r="D150" s="731"/>
      <c r="E150" s="731"/>
      <c r="F150" s="731"/>
      <c r="G150" s="731"/>
      <c r="H150" s="732"/>
    </row>
    <row r="151" spans="1:9" ht="13.5" thickBot="1" x14ac:dyDescent="0.25">
      <c r="A151" s="629"/>
      <c r="B151" s="477" t="s">
        <v>312</v>
      </c>
      <c r="C151" s="478"/>
      <c r="D151" s="479"/>
      <c r="E151" s="480"/>
      <c r="F151" s="272"/>
      <c r="G151" s="481"/>
      <c r="H151" s="482"/>
    </row>
    <row r="152" spans="1:9" ht="25.5" x14ac:dyDescent="0.2">
      <c r="A152" s="776">
        <v>25</v>
      </c>
      <c r="B152" s="483" t="s">
        <v>281</v>
      </c>
      <c r="C152" s="484">
        <f>(4.2+4.6)*2*2</f>
        <v>35.200000000000003</v>
      </c>
      <c r="D152" s="270">
        <f>C154+C155*C152</f>
        <v>89000</v>
      </c>
      <c r="E152" s="557"/>
      <c r="F152" s="275"/>
      <c r="G152" s="276" t="str">
        <f>CONCATENATE(D152," * ",F153,"*",F154)</f>
        <v>89000 * 1*1</v>
      </c>
      <c r="H152" s="271">
        <f>ROUND(D152*F153*F154,2)</f>
        <v>89000</v>
      </c>
      <c r="I152" s="526"/>
    </row>
    <row r="153" spans="1:9" x14ac:dyDescent="0.2">
      <c r="A153" s="777"/>
      <c r="B153" s="486" t="s">
        <v>322</v>
      </c>
      <c r="C153" s="487"/>
      <c r="D153" s="299"/>
      <c r="E153" s="558" t="s">
        <v>282</v>
      </c>
      <c r="F153" s="274">
        <v>1</v>
      </c>
      <c r="G153" s="277"/>
      <c r="H153" s="278"/>
    </row>
    <row r="154" spans="1:9" ht="25.5" x14ac:dyDescent="0.2">
      <c r="A154" s="777"/>
      <c r="B154" s="488" t="s">
        <v>314</v>
      </c>
      <c r="C154" s="489">
        <v>89000</v>
      </c>
      <c r="D154" s="490"/>
      <c r="E154" s="559" t="s">
        <v>312</v>
      </c>
      <c r="F154" s="274">
        <v>1</v>
      </c>
      <c r="G154" s="277"/>
      <c r="H154" s="491"/>
      <c r="I154" s="527"/>
    </row>
    <row r="155" spans="1:9" ht="13.5" thickBot="1" x14ac:dyDescent="0.25">
      <c r="A155" s="778"/>
      <c r="B155" s="492" t="s">
        <v>11</v>
      </c>
      <c r="C155" s="525"/>
      <c r="D155" s="494"/>
      <c r="E155" s="495"/>
      <c r="F155" s="496"/>
      <c r="G155" s="497"/>
      <c r="H155" s="498"/>
    </row>
    <row r="156" spans="1:9" ht="13.5" thickBot="1" x14ac:dyDescent="0.25">
      <c r="A156" s="629"/>
      <c r="B156" s="477" t="s">
        <v>283</v>
      </c>
      <c r="C156" s="478"/>
      <c r="D156" s="479"/>
      <c r="E156" s="480"/>
      <c r="F156" s="272"/>
      <c r="G156" s="481"/>
      <c r="H156" s="482"/>
    </row>
    <row r="157" spans="1:9" ht="26.25" thickBot="1" x14ac:dyDescent="0.25">
      <c r="A157" s="776">
        <v>26</v>
      </c>
      <c r="B157" s="488" t="s">
        <v>284</v>
      </c>
      <c r="C157" s="560"/>
      <c r="D157" s="499">
        <f>ROUND(C159+C157*C160,2)</f>
        <v>11000</v>
      </c>
      <c r="E157" s="557"/>
      <c r="F157" s="275"/>
      <c r="G157" s="276" t="str">
        <f>CONCATENATE(D157," * ",F158,"*",F159)</f>
        <v>11000 * 1*1</v>
      </c>
      <c r="H157" s="271">
        <f>ROUND(D157*F158*F159,2)</f>
        <v>11000</v>
      </c>
      <c r="I157" s="526"/>
    </row>
    <row r="158" spans="1:9" x14ac:dyDescent="0.2">
      <c r="A158" s="777"/>
      <c r="B158" s="561"/>
      <c r="C158" s="257"/>
      <c r="D158" s="299"/>
      <c r="E158" s="558" t="s">
        <v>285</v>
      </c>
      <c r="F158" s="274">
        <v>1</v>
      </c>
      <c r="G158" s="276"/>
      <c r="H158" s="271"/>
    </row>
    <row r="159" spans="1:9" x14ac:dyDescent="0.2">
      <c r="A159" s="777"/>
      <c r="B159" s="488" t="s">
        <v>315</v>
      </c>
      <c r="C159" s="257">
        <v>11000</v>
      </c>
      <c r="D159" s="299"/>
      <c r="E159" s="559" t="s">
        <v>283</v>
      </c>
      <c r="F159" s="274">
        <v>1</v>
      </c>
      <c r="G159" s="277"/>
      <c r="H159" s="491"/>
      <c r="I159" s="527"/>
    </row>
    <row r="160" spans="1:9" ht="13.5" thickBot="1" x14ac:dyDescent="0.25">
      <c r="A160" s="778"/>
      <c r="B160" s="492" t="s">
        <v>11</v>
      </c>
      <c r="C160" s="493"/>
      <c r="D160" s="500"/>
      <c r="E160" s="501"/>
      <c r="F160" s="502"/>
      <c r="G160" s="497"/>
      <c r="H160" s="498"/>
    </row>
    <row r="161" spans="1:9" ht="14.25" customHeight="1" thickBot="1" x14ac:dyDescent="0.25">
      <c r="A161" s="779" t="s">
        <v>350</v>
      </c>
      <c r="B161" s="780"/>
      <c r="C161" s="780"/>
      <c r="D161" s="780"/>
      <c r="E161" s="780"/>
      <c r="F161" s="780"/>
      <c r="G161" s="780"/>
      <c r="H161" s="781"/>
    </row>
    <row r="162" spans="1:9" x14ac:dyDescent="0.2">
      <c r="A162" s="733">
        <v>27</v>
      </c>
      <c r="B162" s="593" t="s">
        <v>349</v>
      </c>
      <c r="C162" s="594">
        <v>40</v>
      </c>
      <c r="D162" s="595">
        <f>ROUND(C164+C162*C165,2)</f>
        <v>153000</v>
      </c>
      <c r="E162" s="592"/>
      <c r="F162" s="586"/>
      <c r="G162" s="276" t="str">
        <f>CONCATENATE(D162," * ",F163)</f>
        <v>153000 * 0,4</v>
      </c>
      <c r="H162" s="271">
        <f>ROUND(D162*F163,2)</f>
        <v>61200</v>
      </c>
    </row>
    <row r="163" spans="1:9" ht="25.5" x14ac:dyDescent="0.2">
      <c r="A163" s="734"/>
      <c r="B163" s="596" t="s">
        <v>369</v>
      </c>
      <c r="C163" s="597"/>
      <c r="D163" s="299"/>
      <c r="E163" s="647" t="s">
        <v>356</v>
      </c>
      <c r="F163" s="272">
        <v>0.4</v>
      </c>
      <c r="G163" s="279"/>
      <c r="H163" s="273"/>
    </row>
    <row r="164" spans="1:9" x14ac:dyDescent="0.2">
      <c r="A164" s="734"/>
      <c r="B164" s="598" t="s">
        <v>331</v>
      </c>
      <c r="C164" s="587">
        <v>153000</v>
      </c>
      <c r="D164" s="299"/>
      <c r="E164" s="424"/>
      <c r="F164" s="274"/>
      <c r="G164" s="279"/>
      <c r="H164" s="426"/>
    </row>
    <row r="165" spans="1:9" ht="13.5" thickBot="1" x14ac:dyDescent="0.25">
      <c r="A165" s="737"/>
      <c r="B165" s="599" t="s">
        <v>11</v>
      </c>
      <c r="C165" s="600"/>
      <c r="D165" s="490"/>
      <c r="E165" s="670"/>
      <c r="F165" s="584"/>
      <c r="G165" s="588"/>
      <c r="H165" s="491"/>
    </row>
    <row r="166" spans="1:9" ht="14.25" customHeight="1" thickBot="1" x14ac:dyDescent="0.25">
      <c r="A166" s="779" t="s">
        <v>351</v>
      </c>
      <c r="B166" s="780"/>
      <c r="C166" s="780"/>
      <c r="D166" s="780"/>
      <c r="E166" s="780"/>
      <c r="F166" s="780"/>
      <c r="G166" s="780"/>
      <c r="H166" s="781"/>
    </row>
    <row r="167" spans="1:9" ht="25.5" x14ac:dyDescent="0.2">
      <c r="A167" s="741">
        <v>28</v>
      </c>
      <c r="B167" s="483" t="s">
        <v>343</v>
      </c>
      <c r="C167" s="591">
        <f>(4.2+5.4)*2*2.5</f>
        <v>48.000000000000007</v>
      </c>
      <c r="D167" s="2">
        <f>ROUND(C169+C167*C170,2)</f>
        <v>59000</v>
      </c>
      <c r="E167" s="601"/>
      <c r="F167" s="601"/>
      <c r="G167" s="601"/>
      <c r="H167" s="602"/>
    </row>
    <row r="168" spans="1:9" x14ac:dyDescent="0.2">
      <c r="A168" s="742"/>
      <c r="B168" s="486" t="s">
        <v>357</v>
      </c>
      <c r="C168" s="603"/>
      <c r="D168" s="299"/>
      <c r="E168" s="578" t="s">
        <v>282</v>
      </c>
      <c r="F168" s="274">
        <v>1</v>
      </c>
      <c r="G168" s="485" t="str">
        <f>CONCATENATE(D167," * ",F169," * ",F168)</f>
        <v>59000 * 0,4 * 1</v>
      </c>
      <c r="H168" s="273">
        <f>ROUND(D167*F169*F168,2)</f>
        <v>23600</v>
      </c>
    </row>
    <row r="169" spans="1:9" ht="25.5" x14ac:dyDescent="0.2">
      <c r="A169" s="742"/>
      <c r="B169" s="488" t="s">
        <v>348</v>
      </c>
      <c r="C169" s="587">
        <v>59000</v>
      </c>
      <c r="D169" s="3"/>
      <c r="E169" s="647" t="s">
        <v>356</v>
      </c>
      <c r="F169" s="274">
        <v>0.4</v>
      </c>
      <c r="G169" s="277"/>
      <c r="H169" s="278"/>
    </row>
    <row r="170" spans="1:9" ht="13.5" thickBot="1" x14ac:dyDescent="0.25">
      <c r="A170" s="743"/>
      <c r="B170" s="604" t="s">
        <v>11</v>
      </c>
      <c r="C170" s="489"/>
      <c r="D170" s="494"/>
      <c r="E170" s="583"/>
      <c r="F170" s="584"/>
      <c r="G170" s="588"/>
      <c r="H170" s="491"/>
    </row>
    <row r="171" spans="1:9" ht="25.5" x14ac:dyDescent="0.2">
      <c r="A171" s="741">
        <v>29</v>
      </c>
      <c r="B171" s="483" t="s">
        <v>343</v>
      </c>
      <c r="C171" s="591">
        <f>(3.2+3)*2*2</f>
        <v>24.8</v>
      </c>
      <c r="D171" s="2">
        <f>ROUND(C173+C171*C174,2)</f>
        <v>59000</v>
      </c>
      <c r="E171" s="601"/>
      <c r="F171" s="601"/>
      <c r="G171" s="601"/>
      <c r="H171" s="602"/>
    </row>
    <row r="172" spans="1:9" x14ac:dyDescent="0.2">
      <c r="A172" s="742"/>
      <c r="B172" s="486" t="s">
        <v>358</v>
      </c>
      <c r="C172" s="603"/>
      <c r="D172" s="299"/>
      <c r="E172" s="578" t="s">
        <v>282</v>
      </c>
      <c r="F172" s="274">
        <v>1</v>
      </c>
      <c r="G172" s="485" t="str">
        <f>CONCATENATE(D171," * ",F173," * ",F172)</f>
        <v>59000 * 0,4 * 1</v>
      </c>
      <c r="H172" s="273">
        <f>ROUND(D171*F173*F172,2)</f>
        <v>23600</v>
      </c>
    </row>
    <row r="173" spans="1:9" ht="25.5" x14ac:dyDescent="0.2">
      <c r="A173" s="742"/>
      <c r="B173" s="488" t="s">
        <v>348</v>
      </c>
      <c r="C173" s="587">
        <v>59000</v>
      </c>
      <c r="D173" s="3"/>
      <c r="E173" s="647" t="s">
        <v>356</v>
      </c>
      <c r="F173" s="274">
        <v>0.4</v>
      </c>
      <c r="G173" s="277"/>
      <c r="H173" s="278"/>
    </row>
    <row r="174" spans="1:9" ht="13.5" thickBot="1" x14ac:dyDescent="0.25">
      <c r="A174" s="743"/>
      <c r="B174" s="604" t="s">
        <v>11</v>
      </c>
      <c r="C174" s="489"/>
      <c r="D174" s="494"/>
      <c r="E174" s="583"/>
      <c r="F174" s="584"/>
      <c r="G174" s="588"/>
      <c r="H174" s="491"/>
    </row>
    <row r="175" spans="1:9" ht="13.5" thickBot="1" x14ac:dyDescent="0.25">
      <c r="A175" s="629"/>
      <c r="B175" s="581" t="s">
        <v>346</v>
      </c>
      <c r="C175" s="582"/>
      <c r="D175" s="3"/>
      <c r="E175" s="583"/>
      <c r="F175" s="584"/>
      <c r="G175" s="294"/>
      <c r="H175" s="295"/>
      <c r="I175" s="268"/>
    </row>
    <row r="176" spans="1:9" ht="27" customHeight="1" x14ac:dyDescent="0.2">
      <c r="A176" s="741">
        <v>30</v>
      </c>
      <c r="B176" s="483" t="s">
        <v>352</v>
      </c>
      <c r="C176" s="585"/>
      <c r="D176" s="270">
        <f>ROUND(C178+C176*C179,2)</f>
        <v>11000</v>
      </c>
      <c r="E176" s="592"/>
      <c r="F176" s="586"/>
      <c r="G176" s="276" t="str">
        <f>CONCATENATE(D176," * ",F177,"*",F178)</f>
        <v>11000 * 0,4*1</v>
      </c>
      <c r="H176" s="271">
        <f>ROUND(D176*F178*F177,2)</f>
        <v>4400</v>
      </c>
      <c r="I176" s="268"/>
    </row>
    <row r="177" spans="1:9" ht="25.5" x14ac:dyDescent="0.2">
      <c r="A177" s="742"/>
      <c r="B177" s="486"/>
      <c r="C177" s="487"/>
      <c r="D177" s="299"/>
      <c r="E177" s="647" t="s">
        <v>356</v>
      </c>
      <c r="F177" s="274">
        <v>0.4</v>
      </c>
      <c r="G177" s="277"/>
      <c r="H177" s="278"/>
      <c r="I177" s="268"/>
    </row>
    <row r="178" spans="1:9" x14ac:dyDescent="0.2">
      <c r="A178" s="742"/>
      <c r="B178" s="488" t="s">
        <v>315</v>
      </c>
      <c r="C178" s="587">
        <v>11000</v>
      </c>
      <c r="D178" s="299"/>
      <c r="E178" s="583" t="s">
        <v>285</v>
      </c>
      <c r="F178" s="584">
        <v>1</v>
      </c>
      <c r="G178" s="588"/>
      <c r="H178" s="491"/>
      <c r="I178" s="268"/>
    </row>
    <row r="179" spans="1:9" ht="13.5" thickBot="1" x14ac:dyDescent="0.25">
      <c r="A179" s="743"/>
      <c r="B179" s="492" t="s">
        <v>11</v>
      </c>
      <c r="C179" s="589"/>
      <c r="D179" s="494"/>
      <c r="E179" s="501"/>
      <c r="F179" s="502"/>
      <c r="G179" s="590"/>
      <c r="H179" s="498"/>
      <c r="I179" s="268"/>
    </row>
    <row r="180" spans="1:9" ht="14.25" thickBot="1" x14ac:dyDescent="0.3">
      <c r="A180" s="730" t="s">
        <v>186</v>
      </c>
      <c r="B180" s="731"/>
      <c r="C180" s="731"/>
      <c r="D180" s="731"/>
      <c r="E180" s="731"/>
      <c r="F180" s="731"/>
      <c r="G180" s="731"/>
      <c r="H180" s="732"/>
    </row>
    <row r="181" spans="1:9" x14ac:dyDescent="0.2">
      <c r="A181" s="733">
        <v>31</v>
      </c>
      <c r="B181" s="735" t="s">
        <v>187</v>
      </c>
      <c r="C181" s="594">
        <f>C101+C93+C112</f>
        <v>670</v>
      </c>
      <c r="D181" s="270">
        <f>ROUND(C183+C181*C184,2)</f>
        <v>21000</v>
      </c>
      <c r="E181" s="592"/>
      <c r="F181" s="586"/>
      <c r="G181" s="282">
        <f>ROUND(D181,2)</f>
        <v>21000</v>
      </c>
      <c r="H181" s="271">
        <f>ROUND(D181,2)</f>
        <v>21000</v>
      </c>
      <c r="I181" s="504"/>
    </row>
    <row r="182" spans="1:9" ht="40.5" customHeight="1" x14ac:dyDescent="0.2">
      <c r="A182" s="734"/>
      <c r="B182" s="736"/>
      <c r="C182" s="423"/>
      <c r="D182" s="3"/>
      <c r="E182" s="424"/>
      <c r="F182" s="272"/>
      <c r="G182" s="290"/>
      <c r="H182" s="4"/>
    </row>
    <row r="183" spans="1:9" x14ac:dyDescent="0.2">
      <c r="A183" s="734"/>
      <c r="B183" s="632" t="s">
        <v>317</v>
      </c>
      <c r="C183" s="425">
        <v>21000</v>
      </c>
      <c r="D183" s="3"/>
      <c r="E183" s="424"/>
      <c r="F183" s="291"/>
      <c r="G183" s="290"/>
      <c r="H183" s="292"/>
      <c r="I183" s="527"/>
    </row>
    <row r="184" spans="1:9" ht="13.5" thickBot="1" x14ac:dyDescent="0.25">
      <c r="A184" s="734"/>
      <c r="B184" s="293" t="s">
        <v>11</v>
      </c>
      <c r="C184" s="425"/>
      <c r="D184" s="3"/>
      <c r="E184" s="424"/>
      <c r="F184" s="291"/>
      <c r="G184" s="294"/>
      <c r="H184" s="295"/>
    </row>
    <row r="185" spans="1:9" ht="13.5" thickBot="1" x14ac:dyDescent="0.25">
      <c r="A185" s="782" t="s">
        <v>374</v>
      </c>
      <c r="B185" s="783"/>
      <c r="C185" s="783"/>
      <c r="D185" s="783"/>
      <c r="E185" s="783"/>
      <c r="F185" s="783"/>
      <c r="G185" s="783"/>
      <c r="H185" s="784"/>
      <c r="I185" s="268"/>
    </row>
    <row r="186" spans="1:9" ht="14.25" thickBot="1" x14ac:dyDescent="0.3">
      <c r="A186" s="730" t="s">
        <v>370</v>
      </c>
      <c r="B186" s="731"/>
      <c r="C186" s="731"/>
      <c r="D186" s="731"/>
      <c r="E186" s="731"/>
      <c r="F186" s="731"/>
      <c r="G186" s="731"/>
      <c r="H186" s="732"/>
    </row>
    <row r="187" spans="1:9" x14ac:dyDescent="0.2">
      <c r="A187" s="776">
        <v>32</v>
      </c>
      <c r="B187" s="631" t="s">
        <v>185</v>
      </c>
      <c r="C187" s="281">
        <v>400</v>
      </c>
      <c r="D187" s="270">
        <f>ROUND(C189+C187*C190,2)</f>
        <v>106200</v>
      </c>
      <c r="E187" s="288"/>
      <c r="F187" s="275"/>
      <c r="G187" s="276" t="str">
        <f>CONCATENATE(D187," * ",F188)</f>
        <v>106200 * 0,05</v>
      </c>
      <c r="H187" s="271">
        <v>6200</v>
      </c>
      <c r="I187" s="528"/>
    </row>
    <row r="188" spans="1:9" ht="25.5" x14ac:dyDescent="0.2">
      <c r="A188" s="777"/>
      <c r="B188" s="561" t="s">
        <v>373</v>
      </c>
      <c r="C188" s="257"/>
      <c r="D188" s="299"/>
      <c r="E188" s="647" t="s">
        <v>371</v>
      </c>
      <c r="F188" s="274">
        <v>0.05</v>
      </c>
      <c r="G188" s="277"/>
      <c r="H188" s="278"/>
    </row>
    <row r="189" spans="1:9" ht="38.25" x14ac:dyDescent="0.2">
      <c r="A189" s="777"/>
      <c r="B189" s="632" t="s">
        <v>313</v>
      </c>
      <c r="C189" s="257">
        <v>21000</v>
      </c>
      <c r="D189" s="299"/>
      <c r="E189" s="80" t="s">
        <v>372</v>
      </c>
      <c r="F189" s="274"/>
      <c r="G189" s="277"/>
      <c r="H189" s="491"/>
    </row>
    <row r="190" spans="1:9" ht="13.5" thickBot="1" x14ac:dyDescent="0.25">
      <c r="A190" s="778"/>
      <c r="B190" s="606" t="s">
        <v>11</v>
      </c>
      <c r="C190" s="493">
        <v>213</v>
      </c>
      <c r="D190" s="494"/>
      <c r="E190" s="501"/>
      <c r="F190" s="502"/>
      <c r="G190" s="590"/>
      <c r="H190" s="498"/>
    </row>
    <row r="191" spans="1:9" ht="14.25" customHeight="1" thickBot="1" x14ac:dyDescent="0.3">
      <c r="A191" s="730" t="s">
        <v>360</v>
      </c>
      <c r="B191" s="731"/>
      <c r="C191" s="731"/>
      <c r="D191" s="731"/>
      <c r="E191" s="731"/>
      <c r="F191" s="731"/>
      <c r="G191" s="731"/>
      <c r="H191" s="732"/>
      <c r="I191" s="268"/>
    </row>
    <row r="192" spans="1:9" x14ac:dyDescent="0.2">
      <c r="A192" s="733">
        <v>33</v>
      </c>
      <c r="B192" s="280" t="s">
        <v>185</v>
      </c>
      <c r="C192" s="281">
        <f>C196+C197+C198</f>
        <v>400</v>
      </c>
      <c r="D192" s="270">
        <f>ROUND(C194+C192*C195,2)</f>
        <v>485400</v>
      </c>
      <c r="E192" s="667"/>
      <c r="F192" s="668"/>
      <c r="G192" s="282"/>
      <c r="H192" s="271"/>
      <c r="I192" s="268"/>
    </row>
    <row r="193" spans="1:24" ht="25.5" x14ac:dyDescent="0.2">
      <c r="A193" s="734"/>
      <c r="B193" s="283" t="s">
        <v>375</v>
      </c>
      <c r="C193" s="284"/>
      <c r="D193" s="299"/>
      <c r="E193" s="647" t="s">
        <v>319</v>
      </c>
      <c r="F193" s="274">
        <v>1.1000000000000001</v>
      </c>
      <c r="G193" s="279"/>
      <c r="H193" s="273"/>
      <c r="I193" s="268"/>
    </row>
    <row r="194" spans="1:24" ht="25.5" x14ac:dyDescent="0.2">
      <c r="A194" s="734"/>
      <c r="B194" s="285" t="s">
        <v>331</v>
      </c>
      <c r="C194" s="257">
        <v>179000</v>
      </c>
      <c r="D194" s="299"/>
      <c r="E194" s="647" t="s">
        <v>318</v>
      </c>
      <c r="F194" s="274">
        <v>1.1499999999999999</v>
      </c>
      <c r="G194" s="279"/>
      <c r="H194" s="426"/>
      <c r="I194" s="526"/>
    </row>
    <row r="195" spans="1:24" x14ac:dyDescent="0.2">
      <c r="A195" s="734"/>
      <c r="B195" s="286" t="s">
        <v>11</v>
      </c>
      <c r="C195" s="257">
        <v>766</v>
      </c>
      <c r="D195" s="299"/>
      <c r="E195" s="647"/>
      <c r="F195" s="274"/>
      <c r="G195" s="277"/>
      <c r="H195" s="278"/>
      <c r="I195" s="268"/>
    </row>
    <row r="196" spans="1:24" x14ac:dyDescent="0.2">
      <c r="A196" s="734"/>
      <c r="B196" s="427" t="s">
        <v>327</v>
      </c>
      <c r="C196" s="300">
        <v>120</v>
      </c>
      <c r="D196" s="299"/>
      <c r="E196" s="647"/>
      <c r="F196" s="274"/>
      <c r="G196" s="287" t="str">
        <f>CONCATENATE(D192,"*",F193,"*",F194,"*",C196,"/",C192)</f>
        <v>485400*1,1*1,15*120/400</v>
      </c>
      <c r="H196" s="273">
        <f>ROUND(D192*F193*F194*C196/C192,2)</f>
        <v>184209.3</v>
      </c>
      <c r="I196" s="268"/>
    </row>
    <row r="197" spans="1:24" x14ac:dyDescent="0.2">
      <c r="A197" s="734"/>
      <c r="B197" s="427" t="s">
        <v>328</v>
      </c>
      <c r="C197" s="300">
        <v>80</v>
      </c>
      <c r="D197" s="299"/>
      <c r="E197" s="647"/>
      <c r="F197" s="274"/>
      <c r="G197" s="287" t="str">
        <f>CONCATENATE(D192,"*",F193,"*",C197,"/",C192)</f>
        <v>485400*1,1*80/400</v>
      </c>
      <c r="H197" s="273">
        <f>ROUND(D192*F193*C197/C192,2)</f>
        <v>106788</v>
      </c>
      <c r="I197" s="268"/>
    </row>
    <row r="198" spans="1:24" ht="13.5" thickBot="1" x14ac:dyDescent="0.25">
      <c r="A198" s="737"/>
      <c r="B198" s="427" t="s">
        <v>329</v>
      </c>
      <c r="C198" s="300">
        <v>200</v>
      </c>
      <c r="D198" s="299"/>
      <c r="E198" s="647"/>
      <c r="F198" s="274"/>
      <c r="G198" s="287" t="str">
        <f>CONCATENATE(D192,"*",F193,"*",C198,"/",C192)</f>
        <v>485400*1,1*200/400</v>
      </c>
      <c r="H198" s="273">
        <f>ROUND(D192*F193*C198/C192,2)</f>
        <v>266970</v>
      </c>
      <c r="I198" s="648"/>
    </row>
    <row r="199" spans="1:24" x14ac:dyDescent="0.2">
      <c r="A199" s="733">
        <v>34</v>
      </c>
      <c r="B199" s="570" t="s">
        <v>330</v>
      </c>
      <c r="C199" s="422">
        <f>C198</f>
        <v>200</v>
      </c>
      <c r="D199" s="2">
        <f>ROUND(C200+C199*C201,2)</f>
        <v>374600</v>
      </c>
      <c r="E199" s="288"/>
      <c r="F199" s="275"/>
      <c r="G199" s="276"/>
      <c r="H199" s="289"/>
      <c r="I199" s="268"/>
    </row>
    <row r="200" spans="1:24" ht="25.5" x14ac:dyDescent="0.2">
      <c r="A200" s="734"/>
      <c r="B200" s="632" t="s">
        <v>332</v>
      </c>
      <c r="C200" s="571">
        <v>153000</v>
      </c>
      <c r="D200" s="3"/>
      <c r="E200" s="424" t="s">
        <v>337</v>
      </c>
      <c r="F200" s="272">
        <v>0.6</v>
      </c>
      <c r="G200" s="572" t="str">
        <f>CONCATENATE(D199,"*",F200)</f>
        <v>374600*0,6</v>
      </c>
      <c r="H200" s="4">
        <f>ROUND(D199*F200,2)</f>
        <v>224760</v>
      </c>
      <c r="I200" s="648"/>
    </row>
    <row r="201" spans="1:24" ht="13.5" thickBot="1" x14ac:dyDescent="0.25">
      <c r="A201" s="737"/>
      <c r="B201" s="573" t="s">
        <v>11</v>
      </c>
      <c r="C201" s="574">
        <v>1108</v>
      </c>
      <c r="D201" s="500"/>
      <c r="E201" s="669"/>
      <c r="F201" s="216"/>
      <c r="G201" s="481"/>
      <c r="H201" s="482"/>
      <c r="I201" s="649"/>
      <c r="J201" s="575"/>
      <c r="K201" s="575"/>
      <c r="L201" s="575"/>
      <c r="M201" s="575"/>
      <c r="N201" s="575"/>
      <c r="O201" s="576"/>
      <c r="P201" s="576"/>
      <c r="Q201" s="576"/>
      <c r="R201" s="576"/>
      <c r="S201" s="576"/>
      <c r="T201" s="576"/>
      <c r="U201" s="576"/>
      <c r="V201" s="576"/>
      <c r="W201" s="576"/>
      <c r="X201" s="576"/>
    </row>
    <row r="202" spans="1:24" ht="14.25" customHeight="1" thickBot="1" x14ac:dyDescent="0.3">
      <c r="A202" s="730" t="s">
        <v>325</v>
      </c>
      <c r="B202" s="731"/>
      <c r="C202" s="731"/>
      <c r="D202" s="731"/>
      <c r="E202" s="731"/>
      <c r="F202" s="731"/>
      <c r="G202" s="731"/>
      <c r="H202" s="732"/>
      <c r="I202" s="268"/>
    </row>
    <row r="203" spans="1:24" x14ac:dyDescent="0.2">
      <c r="A203" s="733">
        <v>35</v>
      </c>
      <c r="B203" s="280" t="s">
        <v>185</v>
      </c>
      <c r="C203" s="281">
        <f>C207+C208</f>
        <v>30</v>
      </c>
      <c r="D203" s="270">
        <f>ROUND(C205+C203*C206,2)</f>
        <v>82000</v>
      </c>
      <c r="E203" s="667"/>
      <c r="F203" s="668"/>
      <c r="G203" s="282"/>
      <c r="H203" s="271"/>
      <c r="I203" s="268"/>
    </row>
    <row r="204" spans="1:24" ht="25.5" x14ac:dyDescent="0.2">
      <c r="A204" s="734"/>
      <c r="B204" s="283" t="s">
        <v>376</v>
      </c>
      <c r="C204" s="284"/>
      <c r="D204" s="299"/>
      <c r="E204" s="647" t="s">
        <v>319</v>
      </c>
      <c r="F204" s="274">
        <v>1.1000000000000001</v>
      </c>
      <c r="G204" s="279"/>
      <c r="H204" s="273"/>
      <c r="I204" s="268"/>
    </row>
    <row r="205" spans="1:24" ht="25.5" x14ac:dyDescent="0.2">
      <c r="A205" s="734"/>
      <c r="B205" s="285" t="s">
        <v>355</v>
      </c>
      <c r="C205" s="257">
        <v>82000</v>
      </c>
      <c r="D205" s="299"/>
      <c r="E205" s="647" t="s">
        <v>318</v>
      </c>
      <c r="F205" s="274">
        <v>1.1499999999999999</v>
      </c>
      <c r="G205" s="279"/>
      <c r="H205" s="426"/>
      <c r="I205" s="526"/>
    </row>
    <row r="206" spans="1:24" x14ac:dyDescent="0.2">
      <c r="A206" s="734"/>
      <c r="B206" s="286" t="s">
        <v>11</v>
      </c>
      <c r="C206" s="257"/>
      <c r="D206" s="299"/>
      <c r="E206" s="647"/>
      <c r="F206" s="274"/>
      <c r="G206" s="277"/>
      <c r="H206" s="278"/>
      <c r="I206" s="268"/>
    </row>
    <row r="207" spans="1:24" x14ac:dyDescent="0.2">
      <c r="A207" s="734"/>
      <c r="B207" s="427" t="s">
        <v>327</v>
      </c>
      <c r="C207" s="300">
        <v>10</v>
      </c>
      <c r="D207" s="299"/>
      <c r="E207" s="647"/>
      <c r="F207" s="274"/>
      <c r="G207" s="287" t="str">
        <f>CONCATENATE(D203,"*",F204,"*",F205,"*",C207,"/",C203)</f>
        <v>82000*1,1*1,15*10/30</v>
      </c>
      <c r="H207" s="273">
        <f>ROUND(D203*F204*F205*C207/C203,2)</f>
        <v>34576.67</v>
      </c>
      <c r="I207" s="268"/>
    </row>
    <row r="208" spans="1:24" ht="13.5" thickBot="1" x14ac:dyDescent="0.25">
      <c r="A208" s="734"/>
      <c r="B208" s="427" t="s">
        <v>328</v>
      </c>
      <c r="C208" s="300">
        <v>20</v>
      </c>
      <c r="D208" s="299"/>
      <c r="E208" s="647"/>
      <c r="F208" s="274"/>
      <c r="G208" s="287" t="str">
        <f>CONCATENATE(D203,"*",F204,"*",C208,"/",C203)</f>
        <v>82000*1,1*20/30</v>
      </c>
      <c r="H208" s="273">
        <f>ROUND(D203*F204*C208/C203,2)</f>
        <v>60133.33</v>
      </c>
      <c r="I208" s="268"/>
    </row>
    <row r="209" spans="1:9" ht="14.25" customHeight="1" thickBot="1" x14ac:dyDescent="0.3">
      <c r="A209" s="730" t="s">
        <v>333</v>
      </c>
      <c r="B209" s="731"/>
      <c r="C209" s="731"/>
      <c r="D209" s="731"/>
      <c r="E209" s="731"/>
      <c r="F209" s="731"/>
      <c r="G209" s="731"/>
      <c r="H209" s="732"/>
    </row>
    <row r="210" spans="1:9" x14ac:dyDescent="0.2">
      <c r="A210" s="733">
        <v>36</v>
      </c>
      <c r="B210" s="280" t="s">
        <v>185</v>
      </c>
      <c r="C210" s="281">
        <f>C215+C214</f>
        <v>110</v>
      </c>
      <c r="D210" s="270">
        <f>ROUND(C212+C210*C213,2)</f>
        <v>44430</v>
      </c>
      <c r="E210" s="667"/>
      <c r="F210" s="668"/>
      <c r="G210" s="282"/>
      <c r="H210" s="271"/>
    </row>
    <row r="211" spans="1:9" ht="25.5" x14ac:dyDescent="0.2">
      <c r="A211" s="734"/>
      <c r="B211" s="283" t="s">
        <v>377</v>
      </c>
      <c r="C211" s="284"/>
      <c r="D211" s="299"/>
      <c r="E211" s="647" t="s">
        <v>319</v>
      </c>
      <c r="F211" s="274">
        <v>1.1000000000000001</v>
      </c>
      <c r="G211" s="279"/>
      <c r="H211" s="273"/>
    </row>
    <row r="212" spans="1:9" ht="25.5" x14ac:dyDescent="0.2">
      <c r="A212" s="734"/>
      <c r="B212" s="285" t="s">
        <v>313</v>
      </c>
      <c r="C212" s="257">
        <v>21000</v>
      </c>
      <c r="D212" s="299"/>
      <c r="E212" s="647" t="s">
        <v>318</v>
      </c>
      <c r="F212" s="274">
        <v>1.1499999999999999</v>
      </c>
      <c r="G212" s="279"/>
      <c r="H212" s="426"/>
    </row>
    <row r="213" spans="1:9" x14ac:dyDescent="0.2">
      <c r="A213" s="734"/>
      <c r="B213" s="286" t="s">
        <v>11</v>
      </c>
      <c r="C213" s="257">
        <v>213</v>
      </c>
      <c r="D213" s="299"/>
      <c r="E213" s="647" t="s">
        <v>336</v>
      </c>
      <c r="F213" s="274">
        <v>1.75</v>
      </c>
      <c r="G213" s="277"/>
      <c r="H213" s="278"/>
    </row>
    <row r="214" spans="1:9" ht="20.25" customHeight="1" x14ac:dyDescent="0.2">
      <c r="A214" s="734"/>
      <c r="B214" s="577" t="s">
        <v>328</v>
      </c>
      <c r="C214" s="300">
        <v>60</v>
      </c>
      <c r="E214" s="647"/>
      <c r="F214" s="274"/>
      <c r="G214" s="287" t="str">
        <f>CONCATENATE(D210,"*",F211,"*",F213,"*",C214,"/",C210)</f>
        <v>44430*1,1*1,75*60/110</v>
      </c>
      <c r="H214" s="273">
        <f>ROUND(D210*F211*F213*C214/C210,2)</f>
        <v>46651.5</v>
      </c>
    </row>
    <row r="215" spans="1:9" ht="39" thickBot="1" x14ac:dyDescent="0.25">
      <c r="A215" s="737"/>
      <c r="B215" s="427" t="s">
        <v>327</v>
      </c>
      <c r="C215" s="300">
        <v>50</v>
      </c>
      <c r="D215" s="299"/>
      <c r="E215" s="647" t="s">
        <v>334</v>
      </c>
      <c r="F215" s="274">
        <v>2</v>
      </c>
      <c r="G215" s="287" t="str">
        <f>CONCATENATE(D210,"*",F215,"*",C215,"/",C210)</f>
        <v>44430*2*50/110</v>
      </c>
      <c r="H215" s="273">
        <f>ROUND(D210*F215*C215/C210,2)</f>
        <v>40390.910000000003</v>
      </c>
    </row>
    <row r="216" spans="1:9" ht="14.25" thickBot="1" x14ac:dyDescent="0.3">
      <c r="A216" s="730" t="s">
        <v>378</v>
      </c>
      <c r="B216" s="731"/>
      <c r="C216" s="731"/>
      <c r="D216" s="731"/>
      <c r="E216" s="731"/>
      <c r="F216" s="731"/>
      <c r="G216" s="731"/>
      <c r="H216" s="732"/>
    </row>
    <row r="217" spans="1:9" ht="13.5" thickBot="1" x14ac:dyDescent="0.25">
      <c r="A217" s="629"/>
      <c r="B217" s="477" t="s">
        <v>312</v>
      </c>
      <c r="C217" s="478"/>
      <c r="D217" s="479"/>
      <c r="E217" s="480"/>
      <c r="F217" s="272"/>
      <c r="G217" s="481"/>
      <c r="H217" s="482"/>
    </row>
    <row r="218" spans="1:9" ht="25.5" x14ac:dyDescent="0.2">
      <c r="A218" s="776">
        <v>37</v>
      </c>
      <c r="B218" s="483" t="s">
        <v>281</v>
      </c>
      <c r="C218" s="484">
        <f>(5.2+5.6)*2*2</f>
        <v>43.2</v>
      </c>
      <c r="D218" s="270">
        <f>C220+C221*C218</f>
        <v>89000</v>
      </c>
      <c r="E218" s="557"/>
      <c r="F218" s="275"/>
      <c r="G218" s="276" t="str">
        <f>CONCATENATE(D218," * ",F219,"*",F220)</f>
        <v>89000 * 1*1</v>
      </c>
      <c r="H218" s="271">
        <f>ROUND(D218*F219*F220,2)</f>
        <v>89000</v>
      </c>
      <c r="I218" s="526"/>
    </row>
    <row r="219" spans="1:9" x14ac:dyDescent="0.2">
      <c r="A219" s="777"/>
      <c r="B219" s="486" t="s">
        <v>362</v>
      </c>
      <c r="C219" s="487"/>
      <c r="D219" s="299"/>
      <c r="E219" s="558" t="s">
        <v>282</v>
      </c>
      <c r="F219" s="274">
        <v>1</v>
      </c>
      <c r="G219" s="277"/>
      <c r="H219" s="278"/>
    </row>
    <row r="220" spans="1:9" ht="25.5" x14ac:dyDescent="0.2">
      <c r="A220" s="777"/>
      <c r="B220" s="488" t="s">
        <v>314</v>
      </c>
      <c r="C220" s="489">
        <v>89000</v>
      </c>
      <c r="D220" s="490"/>
      <c r="E220" s="559" t="s">
        <v>312</v>
      </c>
      <c r="F220" s="274">
        <v>1</v>
      </c>
      <c r="G220" s="277"/>
      <c r="H220" s="491"/>
      <c r="I220" s="527"/>
    </row>
    <row r="221" spans="1:9" ht="13.5" thickBot="1" x14ac:dyDescent="0.25">
      <c r="A221" s="778"/>
      <c r="B221" s="492" t="s">
        <v>11</v>
      </c>
      <c r="C221" s="525"/>
      <c r="D221" s="494"/>
      <c r="E221" s="495"/>
      <c r="F221" s="496"/>
      <c r="G221" s="497"/>
      <c r="H221" s="498"/>
    </row>
    <row r="222" spans="1:9" ht="13.5" thickBot="1" x14ac:dyDescent="0.25">
      <c r="A222" s="629"/>
      <c r="B222" s="477" t="s">
        <v>283</v>
      </c>
      <c r="C222" s="478"/>
      <c r="D222" s="479"/>
      <c r="E222" s="480"/>
      <c r="F222" s="272"/>
      <c r="G222" s="481"/>
      <c r="H222" s="482"/>
    </row>
    <row r="223" spans="1:9" ht="25.5" x14ac:dyDescent="0.2">
      <c r="A223" s="741">
        <v>38</v>
      </c>
      <c r="B223" s="488" t="s">
        <v>284</v>
      </c>
      <c r="C223" s="560">
        <v>500</v>
      </c>
      <c r="D223" s="499">
        <f>ROUND(C225+C223*C226,2)</f>
        <v>58500</v>
      </c>
      <c r="E223" s="288"/>
      <c r="F223" s="275"/>
      <c r="G223" s="276" t="str">
        <f>CONCATENATE(D223," * ",F224,"*",F225)</f>
        <v>58500 * 1*1</v>
      </c>
      <c r="H223" s="271">
        <f>ROUND(D223*F224*F225,2)</f>
        <v>58500</v>
      </c>
    </row>
    <row r="224" spans="1:9" x14ac:dyDescent="0.2">
      <c r="A224" s="742"/>
      <c r="B224" s="561" t="s">
        <v>379</v>
      </c>
      <c r="C224" s="257"/>
      <c r="D224" s="299"/>
      <c r="E224" s="578" t="s">
        <v>285</v>
      </c>
      <c r="F224" s="274">
        <v>1</v>
      </c>
      <c r="G224" s="277"/>
      <c r="H224" s="278"/>
    </row>
    <row r="225" spans="1:9" x14ac:dyDescent="0.2">
      <c r="A225" s="742"/>
      <c r="B225" s="488" t="s">
        <v>364</v>
      </c>
      <c r="C225" s="257">
        <v>58500</v>
      </c>
      <c r="D225" s="299"/>
      <c r="E225" s="579" t="s">
        <v>283</v>
      </c>
      <c r="F225" s="274">
        <v>1</v>
      </c>
      <c r="G225" s="277"/>
      <c r="H225" s="491"/>
    </row>
    <row r="226" spans="1:9" ht="13.5" thickBot="1" x14ac:dyDescent="0.25">
      <c r="A226" s="743"/>
      <c r="B226" s="492" t="s">
        <v>11</v>
      </c>
      <c r="C226" s="493"/>
      <c r="D226" s="500"/>
      <c r="E226" s="605"/>
      <c r="F226" s="272"/>
      <c r="G226" s="497"/>
      <c r="H226" s="498"/>
    </row>
    <row r="227" spans="1:9" ht="14.25" thickBot="1" x14ac:dyDescent="0.3">
      <c r="A227" s="730" t="s">
        <v>380</v>
      </c>
      <c r="B227" s="731"/>
      <c r="C227" s="731"/>
      <c r="D227" s="731"/>
      <c r="E227" s="731"/>
      <c r="F227" s="731"/>
      <c r="G227" s="731"/>
      <c r="H227" s="732"/>
    </row>
    <row r="228" spans="1:9" ht="13.5" thickBot="1" x14ac:dyDescent="0.25">
      <c r="A228" s="629"/>
      <c r="B228" s="477" t="s">
        <v>312</v>
      </c>
      <c r="C228" s="478"/>
      <c r="D228" s="479"/>
      <c r="E228" s="480"/>
      <c r="F228" s="272"/>
      <c r="G228" s="481"/>
      <c r="H228" s="482"/>
    </row>
    <row r="229" spans="1:9" ht="25.5" x14ac:dyDescent="0.2">
      <c r="A229" s="776">
        <v>39</v>
      </c>
      <c r="B229" s="483" t="s">
        <v>281</v>
      </c>
      <c r="C229" s="484">
        <f>(4.2+5.6)*2*2</f>
        <v>39.200000000000003</v>
      </c>
      <c r="D229" s="270">
        <f>C231+C232*C229</f>
        <v>89000</v>
      </c>
      <c r="E229" s="557"/>
      <c r="F229" s="275"/>
      <c r="G229" s="276" t="str">
        <f>CONCATENATE(D229," * ",F230,"*",F231)</f>
        <v>89000 * 1*1</v>
      </c>
      <c r="H229" s="271">
        <f>ROUND(D229*F230*F231,2)</f>
        <v>89000</v>
      </c>
      <c r="I229" s="526"/>
    </row>
    <row r="230" spans="1:9" x14ac:dyDescent="0.2">
      <c r="A230" s="777"/>
      <c r="B230" s="486" t="s">
        <v>381</v>
      </c>
      <c r="C230" s="487"/>
      <c r="D230" s="299"/>
      <c r="E230" s="558" t="s">
        <v>282</v>
      </c>
      <c r="F230" s="274">
        <v>1</v>
      </c>
      <c r="G230" s="277"/>
      <c r="H230" s="278"/>
    </row>
    <row r="231" spans="1:9" ht="25.5" x14ac:dyDescent="0.2">
      <c r="A231" s="777"/>
      <c r="B231" s="488" t="s">
        <v>314</v>
      </c>
      <c r="C231" s="489">
        <v>89000</v>
      </c>
      <c r="D231" s="490"/>
      <c r="E231" s="559" t="s">
        <v>312</v>
      </c>
      <c r="F231" s="274">
        <v>1</v>
      </c>
      <c r="G231" s="277"/>
      <c r="H231" s="491"/>
      <c r="I231" s="527"/>
    </row>
    <row r="232" spans="1:9" ht="13.5" thickBot="1" x14ac:dyDescent="0.25">
      <c r="A232" s="778"/>
      <c r="B232" s="492" t="s">
        <v>11</v>
      </c>
      <c r="C232" s="525"/>
      <c r="D232" s="494"/>
      <c r="E232" s="495"/>
      <c r="F232" s="496"/>
      <c r="G232" s="497"/>
      <c r="H232" s="498"/>
    </row>
    <row r="233" spans="1:9" ht="13.5" thickBot="1" x14ac:dyDescent="0.25">
      <c r="A233" s="629"/>
      <c r="B233" s="477" t="s">
        <v>283</v>
      </c>
      <c r="C233" s="478"/>
      <c r="D233" s="479"/>
      <c r="E233" s="480"/>
      <c r="F233" s="272"/>
      <c r="G233" s="481"/>
      <c r="H233" s="482"/>
    </row>
    <row r="234" spans="1:9" ht="25.5" x14ac:dyDescent="0.2">
      <c r="A234" s="741">
        <v>40</v>
      </c>
      <c r="B234" s="488" t="s">
        <v>284</v>
      </c>
      <c r="C234" s="560">
        <v>700</v>
      </c>
      <c r="D234" s="499">
        <f>ROUND(C236+C234*C237,2)</f>
        <v>76500</v>
      </c>
      <c r="E234" s="288"/>
      <c r="F234" s="275"/>
      <c r="G234" s="276" t="str">
        <f>CONCATENATE(D234," * ",F235,"*",F236)</f>
        <v>76500 * 1*1</v>
      </c>
      <c r="H234" s="271">
        <f>ROUND(D234*F235*F236,2)</f>
        <v>76500</v>
      </c>
    </row>
    <row r="235" spans="1:9" ht="25.5" x14ac:dyDescent="0.2">
      <c r="A235" s="742"/>
      <c r="B235" s="561" t="s">
        <v>363</v>
      </c>
      <c r="C235" s="257"/>
      <c r="D235" s="299"/>
      <c r="E235" s="578" t="s">
        <v>285</v>
      </c>
      <c r="F235" s="274">
        <v>1</v>
      </c>
      <c r="G235" s="277"/>
      <c r="H235" s="278"/>
    </row>
    <row r="236" spans="1:9" x14ac:dyDescent="0.2">
      <c r="A236" s="742"/>
      <c r="B236" s="488" t="s">
        <v>364</v>
      </c>
      <c r="C236" s="257">
        <v>13500</v>
      </c>
      <c r="D236" s="299"/>
      <c r="E236" s="579" t="s">
        <v>283</v>
      </c>
      <c r="F236" s="274">
        <v>1</v>
      </c>
      <c r="G236" s="277"/>
      <c r="H236" s="491"/>
    </row>
    <row r="237" spans="1:9" ht="13.5" thickBot="1" x14ac:dyDescent="0.25">
      <c r="A237" s="743"/>
      <c r="B237" s="492" t="s">
        <v>11</v>
      </c>
      <c r="C237" s="493">
        <v>90</v>
      </c>
      <c r="D237" s="500"/>
      <c r="E237" s="605"/>
      <c r="F237" s="272"/>
      <c r="G237" s="497"/>
      <c r="H237" s="498"/>
      <c r="I237" s="526"/>
    </row>
    <row r="238" spans="1:9" ht="14.25" customHeight="1" thickBot="1" x14ac:dyDescent="0.3">
      <c r="A238" s="730" t="s">
        <v>382</v>
      </c>
      <c r="B238" s="731"/>
      <c r="C238" s="731"/>
      <c r="D238" s="731"/>
      <c r="E238" s="731"/>
      <c r="F238" s="731"/>
      <c r="G238" s="731"/>
      <c r="H238" s="732"/>
      <c r="I238" s="268"/>
    </row>
    <row r="239" spans="1:9" ht="25.5" x14ac:dyDescent="0.2">
      <c r="A239" s="741">
        <v>41</v>
      </c>
      <c r="B239" s="483" t="s">
        <v>343</v>
      </c>
      <c r="C239" s="591">
        <f>(1.2+1.2)*2*1</f>
        <v>4.8</v>
      </c>
      <c r="D239" s="270">
        <f>ROUND(C241+C239*C242,2)</f>
        <v>59000</v>
      </c>
      <c r="E239" s="592"/>
      <c r="F239" s="586"/>
      <c r="G239" s="276" t="str">
        <f>CONCATENATE(D239," * ",F240," * ",F241)</f>
        <v>59000 * 0,1 * 3</v>
      </c>
      <c r="H239" s="271">
        <f>ROUND(D239*F240*F241,2)</f>
        <v>17700</v>
      </c>
      <c r="I239" s="268"/>
    </row>
    <row r="240" spans="1:9" x14ac:dyDescent="0.2">
      <c r="A240" s="742"/>
      <c r="B240" s="486" t="s">
        <v>344</v>
      </c>
      <c r="C240" s="487"/>
      <c r="D240" s="299"/>
      <c r="E240" s="480" t="s">
        <v>345</v>
      </c>
      <c r="F240" s="272">
        <f>ROUND(C239/50,1)</f>
        <v>0.1</v>
      </c>
      <c r="G240" s="277"/>
      <c r="H240" s="278"/>
      <c r="I240" s="268"/>
    </row>
    <row r="241" spans="1:10" ht="25.5" x14ac:dyDescent="0.2">
      <c r="A241" s="742"/>
      <c r="B241" s="488" t="s">
        <v>348</v>
      </c>
      <c r="C241" s="489">
        <v>59000</v>
      </c>
      <c r="D241" s="490"/>
      <c r="E241" s="583" t="s">
        <v>282</v>
      </c>
      <c r="F241" s="584">
        <v>3</v>
      </c>
      <c r="G241" s="588"/>
      <c r="H241" s="491"/>
      <c r="I241" s="268"/>
    </row>
    <row r="242" spans="1:10" ht="13.5" thickBot="1" x14ac:dyDescent="0.25">
      <c r="A242" s="743"/>
      <c r="B242" s="492" t="s">
        <v>11</v>
      </c>
      <c r="C242" s="589"/>
      <c r="D242" s="494"/>
      <c r="E242" s="501"/>
      <c r="F242" s="502"/>
      <c r="G242" s="590"/>
      <c r="H242" s="498"/>
      <c r="I242" s="268"/>
    </row>
    <row r="243" spans="1:10" ht="13.5" thickBot="1" x14ac:dyDescent="0.25">
      <c r="A243" s="629"/>
      <c r="B243" s="581" t="s">
        <v>346</v>
      </c>
      <c r="C243" s="582"/>
      <c r="D243" s="3"/>
      <c r="E243" s="583"/>
      <c r="F243" s="584"/>
      <c r="G243" s="294"/>
      <c r="H243" s="295"/>
      <c r="I243" s="268"/>
    </row>
    <row r="244" spans="1:10" ht="38.25" x14ac:dyDescent="0.2">
      <c r="A244" s="741">
        <v>42</v>
      </c>
      <c r="B244" s="483" t="s">
        <v>339</v>
      </c>
      <c r="C244" s="585"/>
      <c r="D244" s="270">
        <f>ROUND(C246+C244*C247,2)</f>
        <v>11000</v>
      </c>
      <c r="E244" s="592"/>
      <c r="F244" s="586"/>
      <c r="G244" s="276" t="str">
        <f>CONCATENATE(D244," * ",F246)</f>
        <v>11000 * 3</v>
      </c>
      <c r="H244" s="271">
        <f>ROUND(D244*F246,2)</f>
        <v>33000</v>
      </c>
      <c r="I244" s="268"/>
    </row>
    <row r="245" spans="1:10" x14ac:dyDescent="0.2">
      <c r="A245" s="742"/>
      <c r="B245" s="486"/>
      <c r="C245" s="487"/>
      <c r="D245" s="299"/>
      <c r="E245" s="480"/>
      <c r="F245" s="272"/>
      <c r="G245" s="277"/>
      <c r="H245" s="278"/>
      <c r="I245" s="268"/>
    </row>
    <row r="246" spans="1:10" x14ac:dyDescent="0.2">
      <c r="A246" s="742"/>
      <c r="B246" s="488" t="s">
        <v>315</v>
      </c>
      <c r="C246" s="587">
        <v>11000</v>
      </c>
      <c r="D246" s="299"/>
      <c r="E246" s="583" t="s">
        <v>285</v>
      </c>
      <c r="F246" s="584">
        <v>3</v>
      </c>
      <c r="G246" s="588"/>
      <c r="H246" s="491"/>
      <c r="I246" s="268"/>
    </row>
    <row r="247" spans="1:10" ht="13.5" thickBot="1" x14ac:dyDescent="0.25">
      <c r="A247" s="743"/>
      <c r="B247" s="492" t="s">
        <v>11</v>
      </c>
      <c r="C247" s="589"/>
      <c r="D247" s="494"/>
      <c r="E247" s="501"/>
      <c r="F247" s="502"/>
      <c r="G247" s="590"/>
      <c r="H247" s="498"/>
      <c r="I247" s="268"/>
    </row>
    <row r="248" spans="1:10" ht="14.25" customHeight="1" thickBot="1" x14ac:dyDescent="0.3">
      <c r="A248" s="730" t="s">
        <v>383</v>
      </c>
      <c r="B248" s="731"/>
      <c r="C248" s="731"/>
      <c r="D248" s="731"/>
      <c r="E248" s="731"/>
      <c r="F248" s="731"/>
      <c r="G248" s="731"/>
      <c r="H248" s="732"/>
      <c r="I248" s="268"/>
    </row>
    <row r="249" spans="1:10" ht="30" x14ac:dyDescent="0.2">
      <c r="A249" s="785">
        <v>43</v>
      </c>
      <c r="B249" s="607" t="s">
        <v>384</v>
      </c>
      <c r="C249" s="608">
        <v>230</v>
      </c>
      <c r="D249" s="609">
        <f>ROUND(C251+C252*C249,2)</f>
        <v>123520</v>
      </c>
      <c r="E249" s="647" t="s">
        <v>318</v>
      </c>
      <c r="F249" s="274">
        <v>1.1499999999999999</v>
      </c>
      <c r="G249" s="610" t="str">
        <f>CONCATENATE(D249," * ",F249)</f>
        <v>123520 * 1,15</v>
      </c>
      <c r="H249" s="611">
        <f>ROUND(D249*F249,2)</f>
        <v>142048</v>
      </c>
      <c r="I249" s="658"/>
      <c r="J249" s="659"/>
    </row>
    <row r="250" spans="1:10" ht="15" x14ac:dyDescent="0.2">
      <c r="A250" s="786"/>
      <c r="B250" s="612" t="s">
        <v>385</v>
      </c>
      <c r="C250" s="613"/>
      <c r="D250" s="614"/>
      <c r="E250" s="671"/>
      <c r="F250" s="615"/>
      <c r="G250" s="616"/>
      <c r="H250" s="617"/>
      <c r="I250" s="268"/>
    </row>
    <row r="251" spans="1:10" ht="30" x14ac:dyDescent="0.2">
      <c r="A251" s="786"/>
      <c r="B251" s="618" t="s">
        <v>386</v>
      </c>
      <c r="C251" s="619">
        <v>26000</v>
      </c>
      <c r="D251" s="614"/>
      <c r="E251" s="620"/>
      <c r="F251" s="621"/>
      <c r="G251" s="616"/>
      <c r="H251" s="617"/>
      <c r="I251" s="268"/>
    </row>
    <row r="252" spans="1:10" ht="15.75" thickBot="1" x14ac:dyDescent="0.25">
      <c r="A252" s="787"/>
      <c r="B252" s="622" t="s">
        <v>11</v>
      </c>
      <c r="C252" s="623">
        <v>424</v>
      </c>
      <c r="D252" s="624"/>
      <c r="E252" s="625"/>
      <c r="F252" s="626"/>
      <c r="G252" s="627"/>
      <c r="H252" s="628"/>
      <c r="I252" s="268"/>
    </row>
    <row r="253" spans="1:10" ht="14.25" thickBot="1" x14ac:dyDescent="0.3">
      <c r="A253" s="730" t="s">
        <v>186</v>
      </c>
      <c r="B253" s="731"/>
      <c r="C253" s="731"/>
      <c r="D253" s="731"/>
      <c r="E253" s="731"/>
      <c r="F253" s="731"/>
      <c r="G253" s="731"/>
      <c r="H253" s="732"/>
    </row>
    <row r="254" spans="1:10" x14ac:dyDescent="0.2">
      <c r="A254" s="733">
        <v>44</v>
      </c>
      <c r="B254" s="735" t="s">
        <v>187</v>
      </c>
      <c r="C254" s="594">
        <f>C192+C203+C210</f>
        <v>540</v>
      </c>
      <c r="D254" s="270">
        <f>ROUND(C256+C254*C257,2)</f>
        <v>21000</v>
      </c>
      <c r="E254" s="592"/>
      <c r="F254" s="586"/>
      <c r="G254" s="282">
        <f>ROUND(D254,2)</f>
        <v>21000</v>
      </c>
      <c r="H254" s="271">
        <f>ROUND(D254,2)</f>
        <v>21000</v>
      </c>
      <c r="I254" s="504"/>
    </row>
    <row r="255" spans="1:10" ht="40.5" customHeight="1" x14ac:dyDescent="0.2">
      <c r="A255" s="734"/>
      <c r="B255" s="736"/>
      <c r="C255" s="423"/>
      <c r="D255" s="3"/>
      <c r="E255" s="424"/>
      <c r="F255" s="272"/>
      <c r="G255" s="290"/>
      <c r="H255" s="4"/>
    </row>
    <row r="256" spans="1:10" x14ac:dyDescent="0.2">
      <c r="A256" s="734"/>
      <c r="B256" s="632" t="s">
        <v>317</v>
      </c>
      <c r="C256" s="425">
        <v>21000</v>
      </c>
      <c r="D256" s="3"/>
      <c r="E256" s="424"/>
      <c r="F256" s="291"/>
      <c r="G256" s="290"/>
      <c r="H256" s="292"/>
      <c r="I256" s="527"/>
    </row>
    <row r="257" spans="1:18" ht="13.5" thickBot="1" x14ac:dyDescent="0.25">
      <c r="A257" s="734"/>
      <c r="B257" s="293" t="s">
        <v>11</v>
      </c>
      <c r="C257" s="425"/>
      <c r="D257" s="3"/>
      <c r="E257" s="424"/>
      <c r="F257" s="291"/>
      <c r="G257" s="294"/>
      <c r="H257" s="295"/>
    </row>
    <row r="258" spans="1:18" ht="13.5" thickBot="1" x14ac:dyDescent="0.25">
      <c r="A258" s="630"/>
      <c r="B258" s="770" t="s">
        <v>80</v>
      </c>
      <c r="C258" s="771"/>
      <c r="D258" s="771"/>
      <c r="E258" s="771"/>
      <c r="F258" s="771"/>
      <c r="G258" s="772"/>
      <c r="H258" s="254">
        <f>SUM(H18:H257)</f>
        <v>4136434.8699999996</v>
      </c>
    </row>
    <row r="259" spans="1:18" ht="48" thickBot="1" x14ac:dyDescent="0.25">
      <c r="A259" s="21"/>
      <c r="B259" s="769" t="s">
        <v>90</v>
      </c>
      <c r="C259" s="769"/>
      <c r="D259" s="769"/>
      <c r="E259" s="549" t="s">
        <v>307</v>
      </c>
      <c r="F259" s="23">
        <v>1.02</v>
      </c>
      <c r="G259" s="24" t="str">
        <f>CONCATENATE(H258," * ",F259)</f>
        <v>4136434,87 * 1,02</v>
      </c>
      <c r="H259" s="38">
        <f>ROUND(H258*F259,2)</f>
        <v>4219163.57</v>
      </c>
      <c r="I259" s="556"/>
      <c r="J259" s="765"/>
      <c r="K259" s="765"/>
      <c r="L259" s="744" t="s">
        <v>287</v>
      </c>
      <c r="M259" s="744"/>
      <c r="N259" s="744"/>
      <c r="O259" s="387"/>
      <c r="P259" s="744" t="s">
        <v>288</v>
      </c>
      <c r="Q259" s="744"/>
      <c r="R259" s="744"/>
    </row>
    <row r="260" spans="1:18" ht="13.5" customHeight="1" thickBot="1" x14ac:dyDescent="0.25">
      <c r="A260" s="773" t="s">
        <v>12</v>
      </c>
      <c r="B260" s="774"/>
      <c r="C260" s="774"/>
      <c r="D260" s="774"/>
      <c r="E260" s="774"/>
      <c r="F260" s="774"/>
      <c r="G260" s="774"/>
      <c r="H260" s="775"/>
      <c r="J260" s="745" t="s">
        <v>134</v>
      </c>
      <c r="K260" s="745" t="s">
        <v>135</v>
      </c>
      <c r="L260" s="745" t="s">
        <v>136</v>
      </c>
      <c r="M260" s="745" t="s">
        <v>137</v>
      </c>
      <c r="N260" s="745"/>
      <c r="O260" s="507"/>
      <c r="P260" s="745" t="s">
        <v>289</v>
      </c>
      <c r="Q260" s="745" t="s">
        <v>137</v>
      </c>
      <c r="R260" s="745"/>
    </row>
    <row r="261" spans="1:18" ht="40.15" customHeight="1" thickBot="1" x14ac:dyDescent="0.25">
      <c r="A261" s="747" t="s">
        <v>308</v>
      </c>
      <c r="B261" s="748"/>
      <c r="C261" s="748"/>
      <c r="D261" s="748"/>
      <c r="E261" s="748"/>
      <c r="F261" s="748"/>
      <c r="G261" s="748"/>
      <c r="H261" s="749"/>
      <c r="I261" s="526"/>
      <c r="J261" s="745"/>
      <c r="K261" s="745"/>
      <c r="L261" s="745"/>
      <c r="M261" s="508" t="s">
        <v>138</v>
      </c>
      <c r="N261" s="508" t="s">
        <v>139</v>
      </c>
      <c r="O261" s="507"/>
      <c r="P261" s="745"/>
      <c r="Q261" s="508" t="s">
        <v>138</v>
      </c>
      <c r="R261" s="508" t="s">
        <v>139</v>
      </c>
    </row>
    <row r="262" spans="1:18" ht="13.5" customHeight="1" thickBot="1" x14ac:dyDescent="0.25">
      <c r="A262" s="762"/>
      <c r="B262" s="763"/>
      <c r="C262" s="763"/>
      <c r="D262" s="763"/>
      <c r="E262" s="763"/>
      <c r="F262" s="763"/>
      <c r="G262" s="763"/>
      <c r="H262" s="764"/>
      <c r="J262" s="716">
        <v>1</v>
      </c>
      <c r="K262" s="716" t="s">
        <v>140</v>
      </c>
      <c r="L262" s="509" t="s">
        <v>141</v>
      </c>
      <c r="M262" s="509">
        <v>48</v>
      </c>
      <c r="N262" s="509" t="s">
        <v>142</v>
      </c>
      <c r="P262" s="510" t="s">
        <v>290</v>
      </c>
      <c r="Q262" s="509">
        <v>10.6</v>
      </c>
      <c r="R262" s="509" t="s">
        <v>142</v>
      </c>
    </row>
    <row r="263" spans="1:18" ht="26.25" customHeight="1" thickBot="1" x14ac:dyDescent="0.25">
      <c r="A263" s="18" t="s">
        <v>16</v>
      </c>
      <c r="B263" s="727" t="s">
        <v>2</v>
      </c>
      <c r="C263" s="729"/>
      <c r="D263" s="17" t="s">
        <v>8</v>
      </c>
      <c r="E263" s="18" t="s">
        <v>3</v>
      </c>
      <c r="F263" s="19" t="s">
        <v>4</v>
      </c>
      <c r="G263" s="633" t="s">
        <v>0</v>
      </c>
      <c r="H263" s="17" t="s">
        <v>5</v>
      </c>
      <c r="J263" s="716"/>
      <c r="K263" s="716"/>
      <c r="L263" s="509" t="s">
        <v>143</v>
      </c>
      <c r="M263" s="509">
        <v>2</v>
      </c>
      <c r="N263" s="509">
        <v>92</v>
      </c>
      <c r="P263" s="510" t="s">
        <v>291</v>
      </c>
      <c r="Q263" s="509">
        <v>2</v>
      </c>
      <c r="R263" s="509">
        <v>1.72E-2</v>
      </c>
    </row>
    <row r="264" spans="1:18" ht="25.5" x14ac:dyDescent="0.2">
      <c r="A264" s="751">
        <v>1</v>
      </c>
      <c r="B264" s="536" t="s">
        <v>309</v>
      </c>
      <c r="C264" s="660">
        <f>C272</f>
        <v>2.0099999999999998</v>
      </c>
      <c r="D264" s="537">
        <f>ROUND(C265+C266*C264,2)</f>
        <v>183385</v>
      </c>
      <c r="E264" s="538"/>
      <c r="F264" s="539"/>
      <c r="G264" s="540">
        <f>ROUND(D264,2)</f>
        <v>183385</v>
      </c>
      <c r="H264" s="541">
        <f>ROUND(G264,2)</f>
        <v>183385</v>
      </c>
      <c r="J264" s="716"/>
      <c r="K264" s="716"/>
      <c r="L264" s="509" t="s">
        <v>144</v>
      </c>
      <c r="M264" s="509">
        <v>5.5</v>
      </c>
      <c r="N264" s="509">
        <v>88.5</v>
      </c>
      <c r="P264" s="510" t="s">
        <v>292</v>
      </c>
      <c r="Q264" s="509">
        <v>21</v>
      </c>
      <c r="R264" s="509">
        <v>1.34E-2</v>
      </c>
    </row>
    <row r="265" spans="1:18" ht="22.5" x14ac:dyDescent="0.2">
      <c r="A265" s="751"/>
      <c r="B265" s="28" t="s">
        <v>6</v>
      </c>
      <c r="C265" s="550">
        <v>5500</v>
      </c>
      <c r="D265" s="258"/>
      <c r="E265" s="25"/>
      <c r="F265" s="26"/>
      <c r="G265" s="29"/>
      <c r="H265" s="27"/>
      <c r="I265" s="528"/>
      <c r="J265" s="716"/>
      <c r="K265" s="716"/>
      <c r="L265" s="509" t="s">
        <v>145</v>
      </c>
      <c r="M265" s="509">
        <v>93</v>
      </c>
      <c r="N265" s="509">
        <v>71</v>
      </c>
      <c r="P265" s="510" t="s">
        <v>293</v>
      </c>
      <c r="Q265" s="509">
        <v>135</v>
      </c>
      <c r="R265" s="509">
        <v>2E-3</v>
      </c>
    </row>
    <row r="266" spans="1:18" ht="23.25" thickBot="1" x14ac:dyDescent="0.25">
      <c r="A266" s="751"/>
      <c r="B266" s="28" t="s">
        <v>7</v>
      </c>
      <c r="C266" s="551">
        <v>88500</v>
      </c>
      <c r="D266" s="258"/>
      <c r="E266" s="25"/>
      <c r="F266" s="26"/>
      <c r="G266" s="30"/>
      <c r="H266" s="4"/>
      <c r="I266" s="368"/>
      <c r="J266" s="716"/>
      <c r="K266" s="716"/>
      <c r="L266" s="509" t="s">
        <v>146</v>
      </c>
      <c r="M266" s="509">
        <v>227</v>
      </c>
      <c r="N266" s="509">
        <v>57.6</v>
      </c>
      <c r="P266" s="510" t="s">
        <v>294</v>
      </c>
      <c r="Q266" s="509">
        <v>180</v>
      </c>
      <c r="R266" s="509">
        <v>1.1000000000000001E-3</v>
      </c>
    </row>
    <row r="267" spans="1:18" ht="23.25" thickBot="1" x14ac:dyDescent="0.25">
      <c r="A267" s="31"/>
      <c r="B267" s="32" t="s">
        <v>17</v>
      </c>
      <c r="C267" s="33"/>
      <c r="D267" s="34"/>
      <c r="E267" s="35"/>
      <c r="F267" s="36"/>
      <c r="G267" s="37"/>
      <c r="H267" s="38">
        <f>H264</f>
        <v>183385</v>
      </c>
      <c r="I267" s="234"/>
      <c r="J267" s="716"/>
      <c r="K267" s="716"/>
      <c r="L267" s="509" t="s">
        <v>147</v>
      </c>
      <c r="M267" s="509">
        <v>281</v>
      </c>
      <c r="N267" s="509">
        <v>54</v>
      </c>
      <c r="P267" s="510" t="s">
        <v>295</v>
      </c>
      <c r="Q267" s="509">
        <v>220</v>
      </c>
      <c r="R267" s="509">
        <v>6.9999999999999999E-4</v>
      </c>
    </row>
    <row r="268" spans="1:18" ht="23.25" thickBot="1" x14ac:dyDescent="0.25">
      <c r="A268" s="752" t="s">
        <v>9</v>
      </c>
      <c r="B268" s="753"/>
      <c r="C268" s="753"/>
      <c r="D268" s="753"/>
      <c r="E268" s="753"/>
      <c r="F268" s="753"/>
      <c r="G268" s="753"/>
      <c r="H268" s="754"/>
      <c r="I268" s="234"/>
      <c r="J268" s="716"/>
      <c r="K268" s="716"/>
      <c r="L268" s="509" t="s">
        <v>148</v>
      </c>
      <c r="M268" s="509">
        <v>361</v>
      </c>
      <c r="N268" s="509">
        <v>50</v>
      </c>
      <c r="P268" s="510" t="s">
        <v>296</v>
      </c>
      <c r="Q268" s="509">
        <v>360</v>
      </c>
      <c r="R268" s="509" t="s">
        <v>142</v>
      </c>
    </row>
    <row r="269" spans="1:18" ht="45.75" customHeight="1" thickBot="1" x14ac:dyDescent="0.25">
      <c r="A269" s="747" t="s">
        <v>310</v>
      </c>
      <c r="B269" s="748"/>
      <c r="C269" s="748"/>
      <c r="D269" s="748"/>
      <c r="E269" s="748"/>
      <c r="F269" s="748"/>
      <c r="G269" s="748"/>
      <c r="H269" s="749"/>
      <c r="I269" s="526"/>
      <c r="J269" s="716"/>
      <c r="K269" s="716"/>
      <c r="L269" s="509" t="s">
        <v>149</v>
      </c>
      <c r="M269" s="509">
        <v>700</v>
      </c>
      <c r="N269" s="509">
        <v>38.700000000000003</v>
      </c>
    </row>
    <row r="270" spans="1:18" x14ac:dyDescent="0.2">
      <c r="A270" s="39"/>
      <c r="B270" s="40" t="s">
        <v>71</v>
      </c>
      <c r="C270" s="661">
        <f>C254+C181+C87</f>
        <v>2010</v>
      </c>
      <c r="D270" s="41" t="s">
        <v>14</v>
      </c>
      <c r="E270" s="42"/>
      <c r="F270" s="42"/>
      <c r="G270" s="42"/>
      <c r="H270" s="238"/>
      <c r="I270" s="650"/>
      <c r="J270" s="716"/>
      <c r="K270" s="716"/>
      <c r="L270" s="509" t="s">
        <v>150</v>
      </c>
      <c r="M270" s="509">
        <v>2248</v>
      </c>
      <c r="N270" s="509" t="s">
        <v>142</v>
      </c>
    </row>
    <row r="271" spans="1:18" ht="15" customHeight="1" x14ac:dyDescent="0.2">
      <c r="A271" s="43"/>
      <c r="B271" s="44" t="s">
        <v>111</v>
      </c>
      <c r="C271" s="662">
        <f>ROUND(C270*10,2)</f>
        <v>20100</v>
      </c>
      <c r="D271" s="45" t="s">
        <v>112</v>
      </c>
      <c r="E271" s="46"/>
      <c r="F271" s="46"/>
      <c r="G271" s="46"/>
      <c r="H271" s="239"/>
      <c r="I271" s="234"/>
      <c r="J271" s="264"/>
      <c r="K271" s="264"/>
      <c r="L271" s="264"/>
      <c r="M271" s="264"/>
      <c r="N271" s="264"/>
    </row>
    <row r="272" spans="1:18" ht="15.75" customHeight="1" thickBot="1" x14ac:dyDescent="0.25">
      <c r="A272" s="47"/>
      <c r="B272" s="48" t="s">
        <v>111</v>
      </c>
      <c r="C272" s="663">
        <f>ROUND(C271/10000,3)</f>
        <v>2.0099999999999998</v>
      </c>
      <c r="D272" s="49" t="s">
        <v>15</v>
      </c>
      <c r="E272" s="50"/>
      <c r="F272" s="50"/>
      <c r="G272" s="50"/>
      <c r="H272" s="240"/>
      <c r="I272" s="234"/>
      <c r="J272" s="264"/>
      <c r="K272" s="264"/>
      <c r="L272" s="264"/>
      <c r="M272" s="264"/>
      <c r="N272" s="264"/>
    </row>
    <row r="273" spans="1:18" ht="12.75" customHeight="1" x14ac:dyDescent="0.2">
      <c r="A273" s="51"/>
      <c r="B273" s="750" t="s">
        <v>92</v>
      </c>
      <c r="C273" s="750"/>
      <c r="D273" s="750"/>
      <c r="E273" s="52"/>
      <c r="F273" s="53"/>
      <c r="G273" s="54" t="s">
        <v>13</v>
      </c>
      <c r="H273" s="255"/>
      <c r="I273" s="234"/>
      <c r="J273" s="720" t="s">
        <v>152</v>
      </c>
      <c r="K273" s="721"/>
      <c r="L273" s="721"/>
      <c r="M273" s="721"/>
      <c r="N273" s="722"/>
      <c r="O273" s="56"/>
      <c r="P273" s="56"/>
      <c r="Q273" s="56"/>
      <c r="R273" s="56"/>
    </row>
    <row r="274" spans="1:18" s="56" customFormat="1" ht="39" customHeight="1" x14ac:dyDescent="0.2">
      <c r="A274" s="672">
        <v>1</v>
      </c>
      <c r="B274" s="673" t="s">
        <v>238</v>
      </c>
      <c r="C274" s="674"/>
      <c r="D274" s="675">
        <v>2038</v>
      </c>
      <c r="E274" s="80" t="s">
        <v>240</v>
      </c>
      <c r="F274" s="676"/>
      <c r="G274" s="55" t="str">
        <f>CONCATENATE(D274,"*",C272)</f>
        <v>2038*2,01</v>
      </c>
      <c r="H274" s="256">
        <f>ROUND(D274*C272,2)</f>
        <v>4096.38</v>
      </c>
      <c r="I274" s="235"/>
      <c r="J274" s="723" t="s">
        <v>151</v>
      </c>
      <c r="K274" s="724"/>
      <c r="L274" s="724"/>
      <c r="M274" s="724"/>
      <c r="N274" s="725"/>
    </row>
    <row r="275" spans="1:18" s="56" customFormat="1" ht="39" customHeight="1" x14ac:dyDescent="0.2">
      <c r="A275" s="672">
        <v>2</v>
      </c>
      <c r="B275" s="673" t="s">
        <v>239</v>
      </c>
      <c r="C275" s="674"/>
      <c r="D275" s="675">
        <v>8099</v>
      </c>
      <c r="E275" s="80" t="s">
        <v>242</v>
      </c>
      <c r="F275" s="676"/>
      <c r="G275" s="55" t="str">
        <f>CONCATENATE(D275,"*",C272)</f>
        <v>8099*2,01</v>
      </c>
      <c r="H275" s="256">
        <f>ROUND(D275*C272,2)</f>
        <v>16278.99</v>
      </c>
      <c r="I275" s="235"/>
      <c r="J275" s="723" t="s">
        <v>153</v>
      </c>
      <c r="K275" s="724"/>
      <c r="L275" s="724"/>
      <c r="M275" s="724"/>
      <c r="N275" s="725"/>
      <c r="O275" s="57"/>
      <c r="P275" s="57"/>
      <c r="Q275" s="57"/>
      <c r="R275" s="57"/>
    </row>
    <row r="276" spans="1:18" s="57" customFormat="1" ht="39" customHeight="1" x14ac:dyDescent="0.2">
      <c r="A276" s="672">
        <v>3</v>
      </c>
      <c r="B276" s="673" t="s">
        <v>241</v>
      </c>
      <c r="C276" s="674"/>
      <c r="D276" s="675">
        <v>2038</v>
      </c>
      <c r="E276" s="80" t="s">
        <v>244</v>
      </c>
      <c r="F276" s="676"/>
      <c r="G276" s="55" t="str">
        <f>CONCATENATE(D276,"*",C272)</f>
        <v>2038*2,01</v>
      </c>
      <c r="H276" s="256">
        <f>ROUND(D276*C272,2)</f>
        <v>4096.38</v>
      </c>
      <c r="I276" s="236"/>
      <c r="J276" s="723" t="s">
        <v>154</v>
      </c>
      <c r="K276" s="724"/>
      <c r="L276" s="724"/>
      <c r="M276" s="724"/>
      <c r="N276" s="725"/>
    </row>
    <row r="277" spans="1:18" s="57" customFormat="1" ht="39" customHeight="1" x14ac:dyDescent="0.2">
      <c r="A277" s="672">
        <v>4</v>
      </c>
      <c r="B277" s="673" t="s">
        <v>243</v>
      </c>
      <c r="C277" s="674"/>
      <c r="D277" s="675">
        <v>2495</v>
      </c>
      <c r="E277" s="80" t="s">
        <v>246</v>
      </c>
      <c r="F277" s="676"/>
      <c r="G277" s="55" t="str">
        <f>CONCATENATE(D277,"*",C272)</f>
        <v>2495*2,01</v>
      </c>
      <c r="H277" s="256">
        <f>ROUND(D277*C272,2)</f>
        <v>5014.95</v>
      </c>
      <c r="I277" s="236"/>
      <c r="J277" s="717" t="s">
        <v>155</v>
      </c>
      <c r="K277" s="718"/>
      <c r="L277" s="718"/>
      <c r="M277" s="718"/>
      <c r="N277" s="719"/>
    </row>
    <row r="278" spans="1:18" s="57" customFormat="1" ht="39" customHeight="1" thickBot="1" x14ac:dyDescent="0.25">
      <c r="A278" s="677">
        <v>5</v>
      </c>
      <c r="B278" s="678" t="s">
        <v>245</v>
      </c>
      <c r="C278" s="679"/>
      <c r="D278" s="680">
        <v>4074</v>
      </c>
      <c r="E278" s="80" t="s">
        <v>297</v>
      </c>
      <c r="F278" s="676"/>
      <c r="G278" s="55" t="str">
        <f>CONCATENATE(D278,"*",C272)</f>
        <v>4074*2,01</v>
      </c>
      <c r="H278" s="256">
        <f>ROUND(D278*C272,2)</f>
        <v>8188.74</v>
      </c>
      <c r="I278" s="236"/>
      <c r="J278" s="269"/>
      <c r="K278" s="60"/>
      <c r="L278" s="60"/>
      <c r="M278" s="60"/>
      <c r="N278" s="60"/>
      <c r="O278" s="261"/>
      <c r="P278" s="261"/>
      <c r="Q278" s="261"/>
      <c r="R278" s="261"/>
    </row>
    <row r="279" spans="1:18" s="261" customFormat="1" ht="13.5" thickBot="1" x14ac:dyDescent="0.25">
      <c r="A279" s="58"/>
      <c r="B279" s="755" t="s">
        <v>10</v>
      </c>
      <c r="C279" s="756"/>
      <c r="D279" s="756"/>
      <c r="E279" s="756"/>
      <c r="F279" s="756"/>
      <c r="G279" s="757"/>
      <c r="H279" s="59">
        <f>ROUND(H274+H275+H276+H277+H278,2)</f>
        <v>37675.440000000002</v>
      </c>
      <c r="I279" s="237"/>
      <c r="J279" s="203" t="s">
        <v>167</v>
      </c>
      <c r="K279" s="259"/>
      <c r="L279" s="259"/>
      <c r="M279" s="259"/>
      <c r="N279" s="259"/>
      <c r="O279" s="68"/>
      <c r="P279" s="260"/>
      <c r="Q279" s="69"/>
      <c r="R279" s="70"/>
    </row>
    <row r="280" spans="1:18" s="259" customFormat="1" ht="13.5" thickBot="1" x14ac:dyDescent="0.25">
      <c r="A280" s="62"/>
      <c r="B280" s="63" t="s">
        <v>81</v>
      </c>
      <c r="C280" s="64"/>
      <c r="D280" s="65"/>
      <c r="E280" s="65"/>
      <c r="F280" s="65"/>
      <c r="G280" s="65"/>
      <c r="H280" s="38">
        <f>ROUND(H259+H267+H279,2)</f>
        <v>4440224.01</v>
      </c>
      <c r="I280" s="202">
        <f>H258+H267+H279</f>
        <v>4357495.3099999996</v>
      </c>
      <c r="O280" s="68"/>
      <c r="P280" s="260"/>
      <c r="Q280" s="69"/>
      <c r="R280" s="70"/>
    </row>
    <row r="281" spans="1:18" s="259" customFormat="1" ht="39.75" hidden="1" customHeight="1" thickBot="1" x14ac:dyDescent="0.25">
      <c r="A281" s="21"/>
      <c r="B281" s="746" t="s">
        <v>91</v>
      </c>
      <c r="C281" s="746"/>
      <c r="D281" s="746"/>
      <c r="E281" s="22" t="s">
        <v>113</v>
      </c>
      <c r="F281" s="263">
        <v>1</v>
      </c>
      <c r="G281" s="263" t="str">
        <f>CONCATENATE(H280," х ",F281)</f>
        <v>4440224,01 х 1</v>
      </c>
      <c r="H281" s="38">
        <f>ROUND(H280*F281,2)</f>
        <v>4440224.01</v>
      </c>
      <c r="I281" s="203"/>
      <c r="O281" s="68"/>
      <c r="P281" s="260"/>
      <c r="Q281" s="69"/>
      <c r="R281" s="70"/>
    </row>
    <row r="282" spans="1:18" s="259" customFormat="1" x14ac:dyDescent="0.2">
      <c r="A282" s="72"/>
      <c r="B282" s="73"/>
      <c r="C282" s="74"/>
      <c r="D282" s="73"/>
      <c r="E282" s="15"/>
      <c r="F282" s="75"/>
      <c r="G282" s="266"/>
      <c r="H282" s="76"/>
      <c r="I282" s="203"/>
      <c r="O282" s="68"/>
      <c r="P282" s="260"/>
      <c r="Q282" s="69"/>
      <c r="R282" s="70"/>
    </row>
    <row r="283" spans="1:18" s="259" customFormat="1" ht="15.75" x14ac:dyDescent="0.2">
      <c r="A283" s="264"/>
      <c r="B283" s="264"/>
      <c r="C283" s="10"/>
      <c r="D283" s="265"/>
      <c r="E283" s="264"/>
      <c r="F283" s="266"/>
      <c r="G283" s="264"/>
      <c r="H283" s="267"/>
      <c r="I283" s="203"/>
      <c r="J283" s="381"/>
      <c r="K283" s="381"/>
      <c r="L283" s="381"/>
      <c r="M283" s="381"/>
      <c r="N283" s="381"/>
      <c r="O283" s="381"/>
      <c r="P283" s="381"/>
      <c r="Q283" s="381"/>
      <c r="R283" s="381"/>
    </row>
    <row r="284" spans="1:18" s="381" customFormat="1" ht="15.75" x14ac:dyDescent="0.2">
      <c r="A284" s="681"/>
      <c r="B284" s="264"/>
      <c r="C284" s="264"/>
      <c r="D284" s="264"/>
      <c r="E284" s="264"/>
      <c r="G284" s="384"/>
      <c r="J284" s="382"/>
      <c r="K284" s="382"/>
      <c r="L284" s="382"/>
      <c r="M284" s="382"/>
      <c r="N284" s="382"/>
      <c r="O284" s="382"/>
      <c r="P284" s="382"/>
      <c r="Q284" s="382"/>
      <c r="R284" s="382"/>
    </row>
    <row r="285" spans="1:18" s="382" customFormat="1" ht="15.75" x14ac:dyDescent="0.2">
      <c r="A285" s="681"/>
      <c r="B285" s="12"/>
      <c r="C285" s="12"/>
      <c r="D285" s="12"/>
      <c r="E285" s="12"/>
      <c r="F285" s="383"/>
      <c r="G285" s="682"/>
      <c r="H285" s="682"/>
      <c r="J285" s="375"/>
      <c r="K285" s="375"/>
      <c r="L285" s="375"/>
      <c r="M285" s="375"/>
      <c r="N285" s="375"/>
      <c r="O285" s="375"/>
      <c r="P285" s="375"/>
      <c r="Q285" s="375"/>
      <c r="R285" s="375"/>
    </row>
    <row r="286" spans="1:18" s="375" customFormat="1" ht="15.75" x14ac:dyDescent="0.2">
      <c r="A286" s="381"/>
      <c r="B286" s="264"/>
      <c r="C286" s="264"/>
      <c r="D286" s="264"/>
      <c r="E286" s="265"/>
      <c r="F286" s="681"/>
      <c r="G286" s="681"/>
      <c r="H286" s="681"/>
    </row>
    <row r="287" spans="1:18" s="375" customFormat="1" ht="15.75" x14ac:dyDescent="0.2">
      <c r="A287" s="381"/>
      <c r="B287" s="264"/>
      <c r="C287" s="264"/>
      <c r="D287" s="264"/>
      <c r="E287" s="264"/>
      <c r="F287" s="681"/>
      <c r="G287" s="681"/>
      <c r="H287" s="681"/>
      <c r="J287" s="268"/>
      <c r="K287" s="268"/>
      <c r="L287" s="268"/>
      <c r="M287" s="268"/>
      <c r="N287" s="268"/>
      <c r="O287" s="264"/>
      <c r="P287" s="264"/>
      <c r="Q287" s="264"/>
      <c r="R287" s="264"/>
    </row>
  </sheetData>
  <mergeCells count="114">
    <mergeCell ref="A244:A247"/>
    <mergeCell ref="A248:H248"/>
    <mergeCell ref="A249:A252"/>
    <mergeCell ref="A227:H227"/>
    <mergeCell ref="A229:A232"/>
    <mergeCell ref="A234:A237"/>
    <mergeCell ref="A238:H238"/>
    <mergeCell ref="A239:A242"/>
    <mergeCell ref="A209:H209"/>
    <mergeCell ref="A210:A215"/>
    <mergeCell ref="A216:H216"/>
    <mergeCell ref="A218:A221"/>
    <mergeCell ref="A223:A226"/>
    <mergeCell ref="A203:A208"/>
    <mergeCell ref="A199:A201"/>
    <mergeCell ref="A167:A170"/>
    <mergeCell ref="A171:A174"/>
    <mergeCell ref="A176:A179"/>
    <mergeCell ref="A186:H186"/>
    <mergeCell ref="A187:A190"/>
    <mergeCell ref="A185:H185"/>
    <mergeCell ref="A180:H180"/>
    <mergeCell ref="A181:A184"/>
    <mergeCell ref="B181:B182"/>
    <mergeCell ref="A166:H166"/>
    <mergeCell ref="A136:A139"/>
    <mergeCell ref="A140:H140"/>
    <mergeCell ref="A141:A144"/>
    <mergeCell ref="A146:A149"/>
    <mergeCell ref="A150:H150"/>
    <mergeCell ref="A191:H191"/>
    <mergeCell ref="A192:A198"/>
    <mergeCell ref="A202:H202"/>
    <mergeCell ref="A131:A134"/>
    <mergeCell ref="A101:A107"/>
    <mergeCell ref="A108:A110"/>
    <mergeCell ref="A111:H111"/>
    <mergeCell ref="A112:A117"/>
    <mergeCell ref="A152:A155"/>
    <mergeCell ref="A157:A160"/>
    <mergeCell ref="A161:H161"/>
    <mergeCell ref="A162:A165"/>
    <mergeCell ref="K260:K261"/>
    <mergeCell ref="L260:L261"/>
    <mergeCell ref="M260:N260"/>
    <mergeCell ref="P260:P261"/>
    <mergeCell ref="Q260:R260"/>
    <mergeCell ref="J259:K259"/>
    <mergeCell ref="A16:H16"/>
    <mergeCell ref="B259:D259"/>
    <mergeCell ref="B258:G258"/>
    <mergeCell ref="A260:H260"/>
    <mergeCell ref="A46:H46"/>
    <mergeCell ref="A48:A51"/>
    <mergeCell ref="A53:A56"/>
    <mergeCell ref="A57:H57"/>
    <mergeCell ref="A58:A61"/>
    <mergeCell ref="A63:A66"/>
    <mergeCell ref="A67:H67"/>
    <mergeCell ref="A68:A71"/>
    <mergeCell ref="A72:H72"/>
    <mergeCell ref="A92:H92"/>
    <mergeCell ref="A93:A99"/>
    <mergeCell ref="A91:H91"/>
    <mergeCell ref="A100:H100"/>
    <mergeCell ref="A86:H86"/>
    <mergeCell ref="B281:D281"/>
    <mergeCell ref="A269:H269"/>
    <mergeCell ref="B273:D273"/>
    <mergeCell ref="B263:C263"/>
    <mergeCell ref="A264:A266"/>
    <mergeCell ref="A268:H268"/>
    <mergeCell ref="B279:G279"/>
    <mergeCell ref="A6:H6"/>
    <mergeCell ref="A8:H8"/>
    <mergeCell ref="A11:H11"/>
    <mergeCell ref="A12:H12"/>
    <mergeCell ref="B14:C14"/>
    <mergeCell ref="A9:H9"/>
    <mergeCell ref="A10:H10"/>
    <mergeCell ref="A262:H262"/>
    <mergeCell ref="A261:H261"/>
    <mergeCell ref="A87:A90"/>
    <mergeCell ref="B87:B88"/>
    <mergeCell ref="A77:A80"/>
    <mergeCell ref="A82:A85"/>
    <mergeCell ref="A118:H118"/>
    <mergeCell ref="A120:A123"/>
    <mergeCell ref="A125:A128"/>
    <mergeCell ref="A129:H129"/>
    <mergeCell ref="J262:J270"/>
    <mergeCell ref="K262:K270"/>
    <mergeCell ref="J277:N277"/>
    <mergeCell ref="J273:N273"/>
    <mergeCell ref="J274:N274"/>
    <mergeCell ref="J275:N275"/>
    <mergeCell ref="J276:N276"/>
    <mergeCell ref="I11:P11"/>
    <mergeCell ref="B15:H15"/>
    <mergeCell ref="A253:H253"/>
    <mergeCell ref="A254:A257"/>
    <mergeCell ref="B254:B255"/>
    <mergeCell ref="A17:H17"/>
    <mergeCell ref="A18:A24"/>
    <mergeCell ref="A25:A27"/>
    <mergeCell ref="A28:H28"/>
    <mergeCell ref="A29:A34"/>
    <mergeCell ref="A35:H35"/>
    <mergeCell ref="A37:A40"/>
    <mergeCell ref="A42:A45"/>
    <mergeCell ref="A73:A76"/>
    <mergeCell ref="L259:N259"/>
    <mergeCell ref="P259:R259"/>
    <mergeCell ref="J260:J261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57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view="pageBreakPreview" zoomScale="85" zoomScaleNormal="150" zoomScaleSheetLayoutView="85" workbookViewId="0">
      <selection activeCell="A9" sqref="A9:G9"/>
    </sheetView>
  </sheetViews>
  <sheetFormatPr defaultColWidth="9.140625"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28" bestFit="1" customWidth="1"/>
    <col min="9" max="9" width="9.28515625" style="128" bestFit="1" customWidth="1"/>
    <col min="10" max="16384" width="9.140625" style="128"/>
  </cols>
  <sheetData>
    <row r="1" spans="1:20" s="116" customFormat="1" ht="18" customHeight="1" x14ac:dyDescent="0.2">
      <c r="D1" s="117"/>
      <c r="E1" s="117"/>
      <c r="F1" s="117"/>
      <c r="G1" s="117"/>
      <c r="J1" s="118"/>
      <c r="K1" s="118"/>
      <c r="N1" s="119"/>
      <c r="O1" s="119"/>
      <c r="P1" s="120"/>
      <c r="Q1" s="121"/>
      <c r="R1" s="122"/>
      <c r="S1" s="121"/>
      <c r="T1" s="120"/>
    </row>
    <row r="2" spans="1:20" s="125" customFormat="1" ht="18" customHeight="1" x14ac:dyDescent="0.2">
      <c r="A2" s="116"/>
      <c r="B2" s="116"/>
      <c r="C2" s="116"/>
      <c r="D2" s="262"/>
      <c r="E2" s="126"/>
      <c r="F2" s="123"/>
      <c r="G2" s="124"/>
      <c r="I2" s="126"/>
      <c r="J2" s="127"/>
      <c r="K2" s="127"/>
    </row>
    <row r="3" spans="1:20" s="116" customFormat="1" ht="18" customHeight="1" x14ac:dyDescent="0.2">
      <c r="D3" s="262"/>
      <c r="E3" s="126"/>
      <c r="F3" s="123"/>
      <c r="G3" s="124"/>
      <c r="I3" s="126"/>
      <c r="J3" s="127"/>
      <c r="K3" s="127"/>
      <c r="N3" s="119"/>
      <c r="O3" s="119"/>
      <c r="P3" s="120"/>
      <c r="Q3" s="121"/>
      <c r="R3" s="122"/>
      <c r="S3" s="121"/>
      <c r="T3" s="120"/>
    </row>
    <row r="5" spans="1:20" ht="14.25" x14ac:dyDescent="0.2">
      <c r="A5" s="790" t="s">
        <v>72</v>
      </c>
      <c r="B5" s="790"/>
      <c r="C5" s="790"/>
      <c r="D5" s="790"/>
      <c r="E5" s="790"/>
      <c r="F5" s="790"/>
      <c r="G5" s="790"/>
      <c r="H5" s="114"/>
    </row>
    <row r="6" spans="1:20" ht="14.25" x14ac:dyDescent="0.2">
      <c r="A6" s="646"/>
      <c r="B6" s="646"/>
      <c r="C6" s="646"/>
      <c r="D6" s="646"/>
      <c r="E6" s="646"/>
      <c r="F6" s="646"/>
      <c r="G6" s="646"/>
      <c r="H6" s="114"/>
    </row>
    <row r="7" spans="1:20" ht="87.75" customHeight="1" x14ac:dyDescent="0.2">
      <c r="A7" s="791" t="str">
        <f>'С С Р'!A6:G6</f>
        <v xml:space="preserve"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комплексной застройки, расположенных по адресу: 
г. Москва, Золоторожский Вал, вл. 11. </v>
      </c>
      <c r="B7" s="792"/>
      <c r="C7" s="792"/>
      <c r="D7" s="792"/>
      <c r="E7" s="792"/>
      <c r="F7" s="792"/>
      <c r="G7" s="792"/>
      <c r="H7" s="129"/>
    </row>
    <row r="8" spans="1:20" x14ac:dyDescent="0.2">
      <c r="A8" s="638"/>
      <c r="B8" s="638"/>
      <c r="C8" s="130"/>
      <c r="D8" s="638"/>
      <c r="E8" s="638"/>
      <c r="F8" s="638"/>
      <c r="G8" s="638"/>
    </row>
    <row r="9" spans="1:20" ht="20.25" customHeight="1" x14ac:dyDescent="0.2">
      <c r="A9" s="795" t="s">
        <v>86</v>
      </c>
      <c r="B9" s="795"/>
      <c r="C9" s="795"/>
      <c r="D9" s="795"/>
      <c r="E9" s="795"/>
      <c r="F9" s="795"/>
      <c r="G9" s="795"/>
    </row>
    <row r="10" spans="1:20" ht="33.75" customHeight="1" x14ac:dyDescent="0.2">
      <c r="A10" s="793" t="s">
        <v>82</v>
      </c>
      <c r="B10" s="793"/>
      <c r="C10" s="793"/>
      <c r="D10" s="793"/>
      <c r="E10" s="793"/>
      <c r="F10" s="793"/>
      <c r="G10" s="793"/>
    </row>
    <row r="11" spans="1:20" ht="10.5" customHeight="1" x14ac:dyDescent="0.2">
      <c r="A11" s="636"/>
      <c r="B11" s="636"/>
      <c r="C11" s="636"/>
      <c r="D11" s="636"/>
      <c r="E11" s="636"/>
      <c r="F11" s="636"/>
      <c r="G11" s="636"/>
    </row>
    <row r="12" spans="1:20" ht="76.5" x14ac:dyDescent="0.2">
      <c r="A12" s="131" t="s">
        <v>22</v>
      </c>
      <c r="B12" s="637" t="s">
        <v>23</v>
      </c>
      <c r="C12" s="637" t="s">
        <v>84</v>
      </c>
      <c r="D12" s="132" t="s">
        <v>83</v>
      </c>
      <c r="E12" s="637" t="s">
        <v>24</v>
      </c>
      <c r="F12" s="637" t="s">
        <v>25</v>
      </c>
      <c r="G12" s="637" t="s">
        <v>26</v>
      </c>
    </row>
    <row r="13" spans="1:20" x14ac:dyDescent="0.2">
      <c r="A13" s="794" t="s">
        <v>27</v>
      </c>
      <c r="B13" s="794"/>
      <c r="C13" s="794"/>
      <c r="D13" s="794"/>
      <c r="E13" s="794"/>
      <c r="F13" s="794"/>
      <c r="G13" s="794"/>
    </row>
    <row r="14" spans="1:20" x14ac:dyDescent="0.2">
      <c r="A14" s="133"/>
      <c r="B14" s="133" t="s">
        <v>28</v>
      </c>
      <c r="C14" s="133"/>
      <c r="D14" s="134"/>
      <c r="E14" s="133" t="s">
        <v>29</v>
      </c>
      <c r="F14" s="683">
        <f>Т.с.!C270</f>
        <v>2010</v>
      </c>
      <c r="G14" s="133"/>
      <c r="H14" s="564"/>
    </row>
    <row r="15" spans="1:20" ht="25.5" x14ac:dyDescent="0.2">
      <c r="A15" s="133"/>
      <c r="B15" s="135" t="s">
        <v>30</v>
      </c>
      <c r="C15" s="133"/>
      <c r="D15" s="134"/>
      <c r="E15" s="133"/>
      <c r="F15" s="136"/>
      <c r="G15" s="133"/>
    </row>
    <row r="16" spans="1:20" x14ac:dyDescent="0.2">
      <c r="A16" s="133"/>
      <c r="B16" s="133" t="s">
        <v>31</v>
      </c>
      <c r="C16" s="133" t="s">
        <v>32</v>
      </c>
      <c r="D16" s="134">
        <v>522</v>
      </c>
      <c r="E16" s="133"/>
      <c r="F16" s="684">
        <f>F14</f>
        <v>2010</v>
      </c>
      <c r="G16" s="137">
        <f>D16*F16</f>
        <v>1049220</v>
      </c>
    </row>
    <row r="17" spans="1:8" ht="25.5" x14ac:dyDescent="0.2">
      <c r="A17" s="133"/>
      <c r="B17" s="135" t="s">
        <v>33</v>
      </c>
      <c r="C17" s="133" t="s">
        <v>34</v>
      </c>
      <c r="D17" s="134">
        <v>1.1499999999999999</v>
      </c>
      <c r="E17" s="133"/>
      <c r="F17" s="136"/>
      <c r="G17" s="138">
        <f>G16*1.15</f>
        <v>1206603</v>
      </c>
      <c r="H17" s="129"/>
    </row>
    <row r="18" spans="1:8" x14ac:dyDescent="0.2">
      <c r="A18" s="133"/>
      <c r="B18" s="139" t="s">
        <v>35</v>
      </c>
      <c r="C18" s="133"/>
      <c r="D18" s="134"/>
      <c r="E18" s="133"/>
      <c r="F18" s="136"/>
      <c r="G18" s="140">
        <f>G17</f>
        <v>1206603</v>
      </c>
    </row>
    <row r="19" spans="1:8" ht="51" hidden="1" x14ac:dyDescent="0.2">
      <c r="A19" s="133"/>
      <c r="B19" s="139" t="s">
        <v>36</v>
      </c>
      <c r="C19" s="685" t="s">
        <v>75</v>
      </c>
      <c r="D19" s="485">
        <v>3.76</v>
      </c>
      <c r="E19" s="133"/>
      <c r="F19" s="136"/>
      <c r="G19" s="140">
        <f>G18*D19</f>
        <v>4536827.2799999993</v>
      </c>
    </row>
    <row r="20" spans="1:8" x14ac:dyDescent="0.2">
      <c r="A20" s="794" t="s">
        <v>37</v>
      </c>
      <c r="B20" s="794"/>
      <c r="C20" s="794"/>
      <c r="D20" s="794"/>
      <c r="E20" s="794"/>
      <c r="F20" s="794"/>
      <c r="G20" s="794"/>
    </row>
    <row r="21" spans="1:8" x14ac:dyDescent="0.2">
      <c r="A21" s="133"/>
      <c r="B21" s="133" t="s">
        <v>28</v>
      </c>
      <c r="C21" s="133"/>
      <c r="D21" s="134"/>
      <c r="E21" s="133" t="s">
        <v>29</v>
      </c>
      <c r="F21" s="683">
        <f>F14</f>
        <v>2010</v>
      </c>
      <c r="G21" s="133"/>
      <c r="H21" s="129"/>
    </row>
    <row r="22" spans="1:8" ht="25.5" x14ac:dyDescent="0.2">
      <c r="A22" s="133"/>
      <c r="B22" s="135" t="s">
        <v>30</v>
      </c>
      <c r="C22" s="133"/>
      <c r="D22" s="134"/>
      <c r="E22" s="133"/>
      <c r="F22" s="136"/>
      <c r="G22" s="133"/>
    </row>
    <row r="23" spans="1:8" x14ac:dyDescent="0.2">
      <c r="A23" s="133"/>
      <c r="B23" s="133" t="s">
        <v>31</v>
      </c>
      <c r="C23" s="133" t="s">
        <v>32</v>
      </c>
      <c r="D23" s="134">
        <v>296</v>
      </c>
      <c r="E23" s="133"/>
      <c r="F23" s="684">
        <f>F21</f>
        <v>2010</v>
      </c>
      <c r="G23" s="137">
        <f>D23*F23</f>
        <v>594960</v>
      </c>
    </row>
    <row r="24" spans="1:8" ht="25.5" x14ac:dyDescent="0.2">
      <c r="A24" s="133"/>
      <c r="B24" s="135" t="s">
        <v>33</v>
      </c>
      <c r="C24" s="133" t="s">
        <v>34</v>
      </c>
      <c r="D24" s="134">
        <v>1.1499999999999999</v>
      </c>
      <c r="E24" s="133"/>
      <c r="F24" s="136"/>
      <c r="G24" s="138">
        <f>G23*D24</f>
        <v>684204</v>
      </c>
      <c r="H24" s="129"/>
    </row>
    <row r="25" spans="1:8" x14ac:dyDescent="0.2">
      <c r="A25" s="133"/>
      <c r="B25" s="139" t="s">
        <v>38</v>
      </c>
      <c r="C25" s="133"/>
      <c r="D25" s="134"/>
      <c r="E25" s="133"/>
      <c r="F25" s="136"/>
      <c r="G25" s="140">
        <f>G24</f>
        <v>684204</v>
      </c>
    </row>
    <row r="26" spans="1:8" ht="51" hidden="1" x14ac:dyDescent="0.2">
      <c r="A26" s="133"/>
      <c r="B26" s="139" t="s">
        <v>39</v>
      </c>
      <c r="C26" s="685" t="s">
        <v>75</v>
      </c>
      <c r="D26" s="485">
        <v>3.76</v>
      </c>
      <c r="E26" s="133"/>
      <c r="F26" s="136"/>
      <c r="G26" s="140">
        <f>G25*D26</f>
        <v>2572607.04</v>
      </c>
    </row>
    <row r="27" spans="1:8" x14ac:dyDescent="0.2">
      <c r="A27" s="133"/>
      <c r="B27" s="139"/>
      <c r="C27" s="685"/>
      <c r="D27" s="485"/>
      <c r="E27" s="133"/>
      <c r="F27" s="136"/>
      <c r="G27" s="140"/>
    </row>
    <row r="28" spans="1:8" x14ac:dyDescent="0.2">
      <c r="A28" s="794" t="s">
        <v>182</v>
      </c>
      <c r="B28" s="794"/>
      <c r="C28" s="794"/>
      <c r="D28" s="794"/>
      <c r="E28" s="794"/>
      <c r="F28" s="794"/>
      <c r="G28" s="794"/>
    </row>
    <row r="29" spans="1:8" x14ac:dyDescent="0.2">
      <c r="A29" s="133"/>
      <c r="B29" s="133" t="s">
        <v>28</v>
      </c>
      <c r="C29" s="133"/>
      <c r="D29" s="134"/>
      <c r="E29" s="133" t="s">
        <v>29</v>
      </c>
      <c r="F29" s="684">
        <f>F14</f>
        <v>2010</v>
      </c>
      <c r="G29" s="133"/>
    </row>
    <row r="30" spans="1:8" ht="25.5" x14ac:dyDescent="0.2">
      <c r="A30" s="133"/>
      <c r="B30" s="135" t="s">
        <v>30</v>
      </c>
      <c r="C30" s="133"/>
      <c r="D30" s="134"/>
      <c r="E30" s="133"/>
      <c r="F30" s="136"/>
      <c r="G30" s="133"/>
    </row>
    <row r="31" spans="1:8" x14ac:dyDescent="0.2">
      <c r="A31" s="133"/>
      <c r="B31" s="133" t="s">
        <v>31</v>
      </c>
      <c r="C31" s="133" t="s">
        <v>32</v>
      </c>
      <c r="D31" s="134">
        <v>178</v>
      </c>
      <c r="E31" s="133"/>
      <c r="F31" s="684">
        <f>F29</f>
        <v>2010</v>
      </c>
      <c r="G31" s="137">
        <f>ROUND(D31*F31,2)</f>
        <v>357780</v>
      </c>
    </row>
    <row r="32" spans="1:8" ht="25.5" x14ac:dyDescent="0.2">
      <c r="A32" s="133"/>
      <c r="B32" s="135" t="s">
        <v>33</v>
      </c>
      <c r="C32" s="133" t="s">
        <v>34</v>
      </c>
      <c r="D32" s="134">
        <v>1.1499999999999999</v>
      </c>
      <c r="E32" s="133"/>
      <c r="F32" s="136"/>
      <c r="G32" s="140">
        <f>ROUND(G31*1.15,2)</f>
        <v>411447</v>
      </c>
    </row>
    <row r="33" spans="1:11" x14ac:dyDescent="0.2">
      <c r="A33" s="133"/>
      <c r="B33" s="139" t="s">
        <v>183</v>
      </c>
      <c r="C33" s="133"/>
      <c r="D33" s="134"/>
      <c r="E33" s="133"/>
      <c r="F33" s="136"/>
      <c r="G33" s="140">
        <f>G32</f>
        <v>411447</v>
      </c>
    </row>
    <row r="34" spans="1:11" x14ac:dyDescent="0.2">
      <c r="A34" s="133"/>
      <c r="B34" s="139"/>
      <c r="C34" s="133"/>
      <c r="D34" s="134"/>
      <c r="E34" s="133"/>
      <c r="F34" s="136"/>
      <c r="G34" s="140"/>
    </row>
    <row r="35" spans="1:11" x14ac:dyDescent="0.2">
      <c r="A35" s="133"/>
      <c r="B35" s="139" t="s">
        <v>40</v>
      </c>
      <c r="C35" s="133"/>
      <c r="D35" s="134"/>
      <c r="E35" s="133"/>
      <c r="F35" s="136"/>
      <c r="G35" s="140">
        <f>G18+G25+G33</f>
        <v>2302254</v>
      </c>
    </row>
    <row r="36" spans="1:11" ht="27" hidden="1" customHeight="1" x14ac:dyDescent="0.2">
      <c r="A36" s="141"/>
      <c r="B36" s="142" t="s">
        <v>1</v>
      </c>
      <c r="C36" s="142"/>
      <c r="D36" s="143">
        <v>0.18</v>
      </c>
      <c r="E36" s="141"/>
      <c r="F36" s="144"/>
      <c r="G36" s="145">
        <f>G35*D36</f>
        <v>414405.72</v>
      </c>
    </row>
    <row r="37" spans="1:11" ht="27" hidden="1" customHeight="1" x14ac:dyDescent="0.2">
      <c r="A37" s="133"/>
      <c r="B37" s="139" t="s">
        <v>41</v>
      </c>
      <c r="C37" s="135"/>
      <c r="D37" s="134"/>
      <c r="E37" s="133"/>
      <c r="F37" s="136"/>
      <c r="G37" s="140">
        <f>G35+G36</f>
        <v>2716659.7199999997</v>
      </c>
    </row>
    <row r="39" spans="1:11" s="66" customFormat="1" hidden="1" x14ac:dyDescent="0.2">
      <c r="A39" s="57"/>
      <c r="B39" s="686" t="s">
        <v>42</v>
      </c>
      <c r="C39" s="687"/>
      <c r="D39" s="57" t="s">
        <v>43</v>
      </c>
      <c r="E39" s="57"/>
      <c r="F39" s="688"/>
      <c r="G39" s="689"/>
      <c r="H39" s="90"/>
      <c r="J39" s="111"/>
      <c r="K39" s="111"/>
    </row>
    <row r="40" spans="1:11" s="5" customFormat="1" x14ac:dyDescent="0.2">
      <c r="A40" s="264"/>
      <c r="B40" s="264"/>
      <c r="C40" s="264"/>
      <c r="D40" s="265"/>
      <c r="E40" s="264"/>
      <c r="F40" s="266"/>
      <c r="G40" s="264"/>
      <c r="H40" s="13"/>
      <c r="I40" s="8"/>
    </row>
    <row r="41" spans="1:11" s="5" customFormat="1" x14ac:dyDescent="0.2">
      <c r="A41" s="264"/>
      <c r="B41" s="264">
        <f>Т.с.!B285</f>
        <v>0</v>
      </c>
      <c r="C41" s="264"/>
      <c r="D41" s="265"/>
      <c r="E41" s="264"/>
      <c r="F41" s="266"/>
      <c r="G41" s="264"/>
      <c r="H41" s="13"/>
      <c r="I41" s="8"/>
    </row>
    <row r="42" spans="1:11" s="5" customFormat="1" x14ac:dyDescent="0.2">
      <c r="A42" s="264"/>
      <c r="B42" s="264"/>
      <c r="C42" s="264"/>
      <c r="D42" s="265"/>
      <c r="E42" s="264"/>
      <c r="F42" s="266"/>
      <c r="G42" s="264"/>
      <c r="H42" s="13"/>
      <c r="I42" s="8"/>
    </row>
    <row r="43" spans="1:11" s="5" customFormat="1" x14ac:dyDescent="0.2">
      <c r="A43" s="264"/>
      <c r="B43" s="264"/>
      <c r="C43" s="264"/>
      <c r="D43" s="265"/>
      <c r="E43" s="264"/>
      <c r="F43" s="266"/>
      <c r="G43" s="264"/>
      <c r="H43" s="13"/>
      <c r="I43" s="8"/>
    </row>
    <row r="44" spans="1:11" s="5" customFormat="1" x14ac:dyDescent="0.2">
      <c r="A44" s="264"/>
      <c r="B44" s="264">
        <f>Т.с.!B288</f>
        <v>0</v>
      </c>
      <c r="C44" s="264"/>
      <c r="D44" s="265"/>
      <c r="E44" s="264"/>
      <c r="F44" s="266"/>
      <c r="G44" s="264"/>
      <c r="H44" s="13"/>
      <c r="I44" s="8"/>
    </row>
    <row r="45" spans="1:11" s="5" customFormat="1" x14ac:dyDescent="0.2">
      <c r="A45" s="264"/>
      <c r="B45" s="264"/>
      <c r="C45" s="264"/>
      <c r="D45" s="265"/>
      <c r="E45" s="264"/>
      <c r="F45" s="266"/>
      <c r="G45" s="264"/>
      <c r="H45" s="13"/>
      <c r="I45" s="8"/>
    </row>
    <row r="46" spans="1:11" s="5" customFormat="1" x14ac:dyDescent="0.2">
      <c r="A46" s="264"/>
      <c r="B46" s="264"/>
      <c r="C46" s="264"/>
      <c r="D46" s="265"/>
      <c r="E46" s="264"/>
      <c r="F46" s="266"/>
      <c r="G46" s="264"/>
      <c r="H46" s="13"/>
      <c r="I46" s="8"/>
    </row>
    <row r="47" spans="1:11" s="66" customFormat="1" hidden="1" x14ac:dyDescent="0.2">
      <c r="A47" s="57"/>
      <c r="B47" s="690" t="s">
        <v>44</v>
      </c>
      <c r="C47" s="691"/>
      <c r="D47" s="151"/>
      <c r="E47" s="146" t="s">
        <v>45</v>
      </c>
      <c r="F47" s="147"/>
      <c r="G47" s="148"/>
      <c r="H47" s="147"/>
      <c r="I47" s="149"/>
      <c r="J47" s="150"/>
      <c r="K47" s="151"/>
    </row>
    <row r="48" spans="1:11" s="66" customFormat="1" hidden="1" x14ac:dyDescent="0.2">
      <c r="A48" s="57"/>
      <c r="B48" s="690" t="s">
        <v>46</v>
      </c>
      <c r="C48" s="691"/>
      <c r="D48" s="151"/>
      <c r="E48" s="146" t="s">
        <v>20</v>
      </c>
      <c r="F48" s="147"/>
      <c r="G48" s="148"/>
      <c r="H48" s="147"/>
      <c r="I48" s="149"/>
      <c r="J48" s="150"/>
      <c r="K48" s="151"/>
    </row>
    <row r="49" spans="1:11" s="66" customFormat="1" hidden="1" x14ac:dyDescent="0.2">
      <c r="A49" s="57"/>
      <c r="B49" s="690" t="s">
        <v>19</v>
      </c>
      <c r="C49" s="635"/>
      <c r="D49" s="265"/>
      <c r="E49" s="146"/>
      <c r="F49" s="147"/>
      <c r="G49" s="148"/>
      <c r="H49" s="147"/>
      <c r="I49" s="149"/>
      <c r="J49" s="150"/>
      <c r="K49" s="151"/>
    </row>
    <row r="50" spans="1:11" s="66" customFormat="1" hidden="1" x14ac:dyDescent="0.2">
      <c r="A50" s="57"/>
      <c r="B50" s="690"/>
      <c r="C50" s="635"/>
      <c r="D50" s="265"/>
      <c r="E50" s="146"/>
      <c r="F50" s="147"/>
      <c r="G50" s="148"/>
      <c r="H50" s="147"/>
      <c r="I50" s="149"/>
      <c r="J50" s="150"/>
      <c r="K50" s="151"/>
    </row>
    <row r="51" spans="1:11" s="66" customFormat="1" hidden="1" x14ac:dyDescent="0.2">
      <c r="A51" s="57"/>
      <c r="B51" s="690"/>
      <c r="C51" s="635"/>
      <c r="D51" s="265"/>
      <c r="E51" s="152"/>
      <c r="F51" s="147"/>
      <c r="G51" s="148"/>
      <c r="H51" s="147"/>
      <c r="I51" s="149"/>
      <c r="J51" s="150"/>
      <c r="K51" s="151"/>
    </row>
    <row r="52" spans="1:11" s="66" customFormat="1" hidden="1" x14ac:dyDescent="0.2">
      <c r="A52" s="57"/>
      <c r="B52" s="692" t="s">
        <v>47</v>
      </c>
      <c r="C52" s="691"/>
      <c r="D52" s="151"/>
      <c r="E52" s="153"/>
      <c r="F52" s="154"/>
      <c r="G52" s="155" t="s">
        <v>21</v>
      </c>
      <c r="H52" s="155"/>
      <c r="I52" s="156"/>
      <c r="J52" s="150"/>
      <c r="K52" s="151"/>
    </row>
    <row r="53" spans="1:11" s="66" customFormat="1" hidden="1" x14ac:dyDescent="0.2">
      <c r="A53" s="57"/>
      <c r="B53" s="693" t="s">
        <v>29</v>
      </c>
      <c r="C53" s="57"/>
      <c r="D53" s="151"/>
      <c r="E53" s="693" t="s">
        <v>29</v>
      </c>
      <c r="F53" s="694"/>
      <c r="G53" s="57"/>
      <c r="H53" s="67"/>
      <c r="I53" s="788"/>
      <c r="J53" s="789"/>
      <c r="K53" s="789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view="pageBreakPreview" topLeftCell="A41" zoomScale="70" zoomScaleNormal="100" zoomScaleSheetLayoutView="70" workbookViewId="0">
      <selection sqref="A1:XFD3"/>
    </sheetView>
  </sheetViews>
  <sheetFormatPr defaultColWidth="9.140625" defaultRowHeight="12.75" x14ac:dyDescent="0.2"/>
  <cols>
    <col min="1" max="1" width="9.28515625" style="261" bestFit="1" customWidth="1"/>
    <col min="2" max="2" width="34" style="261" customWidth="1"/>
    <col min="3" max="4" width="12.140625" style="261" customWidth="1"/>
    <col min="5" max="5" width="22.140625" style="261" customWidth="1"/>
    <col min="6" max="6" width="9.28515625" style="261" bestFit="1" customWidth="1"/>
    <col min="7" max="7" width="18.85546875" style="261" customWidth="1"/>
    <col min="8" max="9" width="12.85546875" style="261" customWidth="1"/>
    <col min="10" max="10" width="16.5703125" style="261" customWidth="1"/>
    <col min="11" max="11" width="15.85546875" style="261" customWidth="1"/>
    <col min="12" max="12" width="9.7109375" style="261" bestFit="1" customWidth="1"/>
    <col min="13" max="13" width="6.28515625" style="261" bestFit="1" customWidth="1"/>
    <col min="14" max="14" width="8" style="261" bestFit="1" customWidth="1"/>
    <col min="15" max="17" width="9.140625" style="261"/>
    <col min="18" max="19" width="9.28515625" style="261" bestFit="1" customWidth="1"/>
    <col min="20" max="20" width="9.140625" style="261"/>
    <col min="21" max="21" width="9.28515625" style="261" bestFit="1" customWidth="1"/>
    <col min="22" max="16384" width="9.140625" style="261"/>
  </cols>
  <sheetData>
    <row r="1" spans="1:15" x14ac:dyDescent="0.2">
      <c r="A1" s="301"/>
      <c r="B1" s="301"/>
      <c r="C1" s="301"/>
      <c r="D1" s="301"/>
      <c r="E1" s="301"/>
      <c r="F1" s="796"/>
      <c r="G1" s="796"/>
      <c r="H1" s="796"/>
      <c r="I1" s="566"/>
      <c r="J1" s="530"/>
    </row>
    <row r="2" spans="1:15" x14ac:dyDescent="0.2">
      <c r="A2" s="57"/>
      <c r="B2" s="57"/>
      <c r="C2" s="57"/>
      <c r="D2" s="302"/>
      <c r="E2" s="57"/>
      <c r="F2" s="796"/>
      <c r="G2" s="796"/>
      <c r="H2" s="796"/>
      <c r="I2" s="566"/>
      <c r="J2" s="530"/>
    </row>
    <row r="3" spans="1:15" x14ac:dyDescent="0.2">
      <c r="A3" s="57"/>
      <c r="B3" s="57"/>
      <c r="C3" s="57"/>
      <c r="D3" s="302"/>
      <c r="E3" s="57"/>
      <c r="F3" s="645"/>
      <c r="G3" s="303"/>
      <c r="H3" s="304"/>
      <c r="I3" s="304"/>
      <c r="J3" s="304"/>
    </row>
    <row r="4" spans="1:15" x14ac:dyDescent="0.2">
      <c r="A4" s="57"/>
      <c r="B4" s="57"/>
      <c r="C4" s="57"/>
      <c r="D4" s="302"/>
      <c r="E4" s="57"/>
      <c r="F4" s="645"/>
      <c r="G4" s="303"/>
      <c r="H4" s="304"/>
      <c r="I4" s="304"/>
      <c r="J4" s="304"/>
    </row>
    <row r="5" spans="1:15" ht="14.25" x14ac:dyDescent="0.2">
      <c r="A5" s="790" t="s">
        <v>93</v>
      </c>
      <c r="B5" s="790"/>
      <c r="C5" s="790"/>
      <c r="D5" s="790"/>
      <c r="E5" s="790"/>
      <c r="F5" s="790"/>
      <c r="G5" s="790"/>
      <c r="H5" s="790"/>
      <c r="I5" s="567"/>
      <c r="J5" s="531"/>
    </row>
    <row r="6" spans="1:15" ht="14.25" x14ac:dyDescent="0.2">
      <c r="A6" s="646"/>
      <c r="B6" s="646"/>
      <c r="C6" s="646"/>
      <c r="D6" s="646"/>
      <c r="E6" s="646"/>
      <c r="F6" s="646"/>
      <c r="G6" s="646"/>
      <c r="H6" s="646"/>
      <c r="I6" s="567"/>
      <c r="J6" s="531"/>
    </row>
    <row r="7" spans="1:15" ht="14.25" customHeight="1" x14ac:dyDescent="0.2">
      <c r="A7" s="797" t="s">
        <v>94</v>
      </c>
      <c r="B7" s="797"/>
      <c r="C7" s="797"/>
      <c r="D7" s="797"/>
      <c r="E7" s="797"/>
      <c r="F7" s="797"/>
      <c r="G7" s="797"/>
      <c r="H7" s="797"/>
      <c r="I7" s="568"/>
      <c r="J7" s="532"/>
    </row>
    <row r="8" spans="1:15" x14ac:dyDescent="0.2">
      <c r="A8" s="305"/>
      <c r="B8" s="305"/>
      <c r="C8" s="305"/>
      <c r="D8" s="305"/>
      <c r="E8" s="305"/>
      <c r="F8" s="305"/>
      <c r="G8" s="305"/>
      <c r="H8" s="305"/>
      <c r="I8" s="305"/>
      <c r="J8" s="305"/>
    </row>
    <row r="9" spans="1:15" ht="63" customHeight="1" x14ac:dyDescent="0.2">
      <c r="A9" s="798" t="str">
        <f>'С С Р'!A6:G6</f>
        <v xml:space="preserve"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комплексной застройки, расположенных по адресу: 
г. Москва, Золоторожский Вал, вл. 11. </v>
      </c>
      <c r="B9" s="798"/>
      <c r="C9" s="798"/>
      <c r="D9" s="798"/>
      <c r="E9" s="798"/>
      <c r="F9" s="798"/>
      <c r="G9" s="798"/>
      <c r="H9" s="798"/>
      <c r="I9" s="569"/>
      <c r="J9" s="544"/>
      <c r="K9" s="545"/>
      <c r="L9" s="545"/>
      <c r="M9" s="545"/>
      <c r="N9" s="545"/>
      <c r="O9" s="545"/>
    </row>
    <row r="10" spans="1:15" x14ac:dyDescent="0.2">
      <c r="A10" s="303"/>
      <c r="B10" s="56"/>
      <c r="C10" s="56"/>
      <c r="D10" s="306"/>
      <c r="E10" s="56"/>
      <c r="F10" s="307"/>
      <c r="G10" s="56"/>
      <c r="H10" s="306"/>
      <c r="I10" s="306"/>
      <c r="J10" s="546"/>
      <c r="K10" s="545"/>
      <c r="L10" s="545"/>
      <c r="M10" s="545"/>
      <c r="N10" s="545"/>
      <c r="O10" s="545"/>
    </row>
    <row r="11" spans="1:15" ht="39.75" customHeight="1" thickBot="1" x14ac:dyDescent="0.25">
      <c r="A11" s="807" t="s">
        <v>323</v>
      </c>
      <c r="B11" s="808"/>
      <c r="C11" s="808"/>
      <c r="D11" s="808"/>
      <c r="E11" s="808"/>
      <c r="F11" s="808"/>
      <c r="G11" s="808"/>
      <c r="H11" s="809"/>
      <c r="I11" s="651"/>
      <c r="J11" s="565"/>
      <c r="K11" s="545"/>
      <c r="L11" s="545"/>
      <c r="M11" s="545"/>
      <c r="N11" s="545"/>
      <c r="O11" s="545"/>
    </row>
    <row r="12" spans="1:15" ht="26.25" thickBot="1" x14ac:dyDescent="0.25">
      <c r="A12" s="161" t="s">
        <v>48</v>
      </c>
      <c r="B12" s="810" t="s">
        <v>49</v>
      </c>
      <c r="C12" s="811"/>
      <c r="D12" s="162" t="s">
        <v>50</v>
      </c>
      <c r="E12" s="162" t="s">
        <v>306</v>
      </c>
      <c r="F12" s="163" t="s">
        <v>51</v>
      </c>
      <c r="G12" s="162" t="s">
        <v>0</v>
      </c>
      <c r="H12" s="164" t="s">
        <v>52</v>
      </c>
      <c r="I12" s="652"/>
      <c r="J12" s="547"/>
      <c r="K12" s="511"/>
      <c r="L12" s="511"/>
      <c r="M12" s="511" t="s">
        <v>298</v>
      </c>
      <c r="N12" s="511" t="s">
        <v>298</v>
      </c>
      <c r="O12" s="545"/>
    </row>
    <row r="13" spans="1:15" ht="13.5" thickBot="1" x14ac:dyDescent="0.25">
      <c r="A13" s="308">
        <v>1</v>
      </c>
      <c r="B13" s="309">
        <v>2</v>
      </c>
      <c r="C13" s="309">
        <v>3</v>
      </c>
      <c r="D13" s="310">
        <v>4</v>
      </c>
      <c r="E13" s="309">
        <v>5</v>
      </c>
      <c r="F13" s="310">
        <v>6</v>
      </c>
      <c r="G13" s="309">
        <v>7</v>
      </c>
      <c r="H13" s="311">
        <v>8</v>
      </c>
      <c r="I13" s="653"/>
      <c r="J13" s="545"/>
      <c r="K13" s="313" t="s">
        <v>108</v>
      </c>
      <c r="L13" s="313" t="s">
        <v>109</v>
      </c>
      <c r="M13" s="512" t="s">
        <v>108</v>
      </c>
      <c r="N13" s="313" t="s">
        <v>109</v>
      </c>
      <c r="O13" s="545"/>
    </row>
    <row r="14" spans="1:15" ht="38.25" x14ac:dyDescent="0.2">
      <c r="A14" s="78">
        <v>1</v>
      </c>
      <c r="B14" s="176" t="s">
        <v>95</v>
      </c>
      <c r="C14" s="367" t="s">
        <v>108</v>
      </c>
      <c r="D14" s="177">
        <v>1229</v>
      </c>
      <c r="E14" s="171" t="s">
        <v>387</v>
      </c>
      <c r="F14" s="178">
        <v>1</v>
      </c>
      <c r="G14" s="178" t="str">
        <f>CONCATENATE(D14,"*",F14,"*",0.5)</f>
        <v>1229*1*0,5</v>
      </c>
      <c r="H14" s="165">
        <f>ROUND(D14*F14*0.5,2)</f>
        <v>614.5</v>
      </c>
      <c r="I14" s="654"/>
      <c r="J14" s="548"/>
      <c r="K14" s="167">
        <v>820</v>
      </c>
      <c r="L14" s="167">
        <v>482</v>
      </c>
      <c r="M14" s="511">
        <v>1229</v>
      </c>
      <c r="N14" s="511">
        <v>723</v>
      </c>
      <c r="O14" s="545"/>
    </row>
    <row r="15" spans="1:15" ht="38.25" x14ac:dyDescent="0.2">
      <c r="A15" s="78">
        <v>2</v>
      </c>
      <c r="B15" s="176" t="s">
        <v>96</v>
      </c>
      <c r="C15" s="367" t="s">
        <v>108</v>
      </c>
      <c r="D15" s="177">
        <v>1724</v>
      </c>
      <c r="E15" s="171" t="s">
        <v>388</v>
      </c>
      <c r="F15" s="178">
        <v>1</v>
      </c>
      <c r="G15" s="178" t="str">
        <f>CONCATENATE(D15,"*",F15,"*",0.5)</f>
        <v>1724*1*0,5</v>
      </c>
      <c r="H15" s="165">
        <f>ROUND(D15*F15*0.5,2)</f>
        <v>862</v>
      </c>
      <c r="I15" s="654"/>
      <c r="J15" s="548"/>
      <c r="K15" s="167">
        <v>1326</v>
      </c>
      <c r="L15" s="167">
        <v>780</v>
      </c>
      <c r="M15" s="511">
        <v>1724</v>
      </c>
      <c r="N15" s="511">
        <v>1013</v>
      </c>
      <c r="O15" s="545"/>
    </row>
    <row r="16" spans="1:15" x14ac:dyDescent="0.2">
      <c r="A16" s="78"/>
      <c r="B16" s="314" t="s">
        <v>97</v>
      </c>
      <c r="C16" s="171"/>
      <c r="D16" s="166"/>
      <c r="E16" s="171"/>
      <c r="F16" s="315"/>
      <c r="G16" s="316"/>
      <c r="H16" s="77">
        <f>SUM(H14:H15)</f>
        <v>1476.5</v>
      </c>
      <c r="I16" s="655"/>
      <c r="J16" s="312"/>
      <c r="K16" s="167"/>
      <c r="L16" s="167"/>
      <c r="M16" s="511"/>
      <c r="N16" s="511"/>
      <c r="O16" s="545"/>
    </row>
    <row r="17" spans="1:15" ht="25.5" x14ac:dyDescent="0.2">
      <c r="A17" s="78">
        <v>3</v>
      </c>
      <c r="B17" s="176" t="s">
        <v>53</v>
      </c>
      <c r="C17" s="367" t="s">
        <v>108</v>
      </c>
      <c r="D17" s="177">
        <v>1211</v>
      </c>
      <c r="E17" s="171" t="s">
        <v>299</v>
      </c>
      <c r="F17" s="178">
        <v>1</v>
      </c>
      <c r="G17" s="178" t="str">
        <f t="shared" ref="G17:G23" si="0">CONCATENATE(D17,"*",F17)</f>
        <v>1211*1</v>
      </c>
      <c r="H17" s="165">
        <f t="shared" ref="H17:H23" si="1">ROUND(D17*F17,2)</f>
        <v>1211</v>
      </c>
      <c r="I17" s="654"/>
      <c r="J17" s="312"/>
      <c r="K17" s="167">
        <v>484</v>
      </c>
      <c r="L17" s="167">
        <v>484</v>
      </c>
      <c r="M17" s="511">
        <v>1211</v>
      </c>
      <c r="N17" s="511">
        <v>968</v>
      </c>
      <c r="O17" s="545"/>
    </row>
    <row r="18" spans="1:15" ht="51" x14ac:dyDescent="0.2">
      <c r="A18" s="78">
        <v>4</v>
      </c>
      <c r="B18" s="168" t="s">
        <v>54</v>
      </c>
      <c r="C18" s="169"/>
      <c r="D18" s="170">
        <v>1214</v>
      </c>
      <c r="E18" s="171" t="s">
        <v>190</v>
      </c>
      <c r="F18" s="170">
        <v>1</v>
      </c>
      <c r="G18" s="178" t="str">
        <f t="shared" si="0"/>
        <v>1214*1</v>
      </c>
      <c r="H18" s="165">
        <f t="shared" si="1"/>
        <v>1214</v>
      </c>
      <c r="I18" s="654"/>
      <c r="J18" s="317"/>
      <c r="K18" s="512"/>
      <c r="L18" s="512"/>
      <c r="M18" s="511"/>
      <c r="N18" s="511"/>
      <c r="O18" s="545"/>
    </row>
    <row r="19" spans="1:15" x14ac:dyDescent="0.2">
      <c r="A19" s="78">
        <v>5</v>
      </c>
      <c r="B19" s="168" t="s">
        <v>55</v>
      </c>
      <c r="C19" s="169"/>
      <c r="D19" s="170">
        <v>318</v>
      </c>
      <c r="E19" s="171" t="s">
        <v>191</v>
      </c>
      <c r="F19" s="170">
        <v>1</v>
      </c>
      <c r="G19" s="178" t="str">
        <f t="shared" si="0"/>
        <v>318*1</v>
      </c>
      <c r="H19" s="165">
        <f t="shared" si="1"/>
        <v>318</v>
      </c>
      <c r="I19" s="654"/>
      <c r="J19" s="317"/>
      <c r="K19" s="512"/>
      <c r="L19" s="512"/>
      <c r="M19" s="511"/>
      <c r="N19" s="511"/>
      <c r="O19" s="545"/>
    </row>
    <row r="20" spans="1:15" ht="25.5" x14ac:dyDescent="0.2">
      <c r="A20" s="78">
        <v>6</v>
      </c>
      <c r="B20" s="168" t="s">
        <v>56</v>
      </c>
      <c r="C20" s="169"/>
      <c r="D20" s="170">
        <v>318</v>
      </c>
      <c r="E20" s="171" t="s">
        <v>192</v>
      </c>
      <c r="F20" s="170">
        <v>1</v>
      </c>
      <c r="G20" s="178" t="str">
        <f t="shared" si="0"/>
        <v>318*1</v>
      </c>
      <c r="H20" s="165">
        <f t="shared" si="1"/>
        <v>318</v>
      </c>
      <c r="I20" s="654"/>
      <c r="J20" s="317"/>
      <c r="K20" s="512"/>
      <c r="L20" s="512"/>
      <c r="M20" s="511"/>
      <c r="N20" s="511"/>
      <c r="O20" s="545"/>
    </row>
    <row r="21" spans="1:15" ht="63.75" x14ac:dyDescent="0.2">
      <c r="A21" s="639">
        <v>7</v>
      </c>
      <c r="B21" s="318" t="s">
        <v>193</v>
      </c>
      <c r="C21" s="173" t="s">
        <v>57</v>
      </c>
      <c r="D21" s="174">
        <v>122</v>
      </c>
      <c r="E21" s="641" t="s">
        <v>194</v>
      </c>
      <c r="F21" s="695">
        <f>Т.с.!C272</f>
        <v>2.0099999999999998</v>
      </c>
      <c r="G21" s="177" t="str">
        <f t="shared" si="0"/>
        <v>122*2,01</v>
      </c>
      <c r="H21" s="1">
        <f t="shared" si="1"/>
        <v>245.22</v>
      </c>
      <c r="I21" s="657"/>
      <c r="J21" s="513" t="s">
        <v>110</v>
      </c>
      <c r="K21" s="514" t="s">
        <v>108</v>
      </c>
      <c r="L21" s="514" t="s">
        <v>109</v>
      </c>
      <c r="M21" s="511"/>
      <c r="N21" s="511"/>
      <c r="O21" s="545"/>
    </row>
    <row r="22" spans="1:15" ht="25.5" x14ac:dyDescent="0.2">
      <c r="A22" s="639">
        <v>8</v>
      </c>
      <c r="B22" s="172" t="s">
        <v>98</v>
      </c>
      <c r="C22" s="367" t="s">
        <v>108</v>
      </c>
      <c r="D22" s="174">
        <v>1241</v>
      </c>
      <c r="E22" s="641" t="s">
        <v>316</v>
      </c>
      <c r="F22" s="175">
        <v>1</v>
      </c>
      <c r="G22" s="178" t="str">
        <f t="shared" si="0"/>
        <v>1241*1</v>
      </c>
      <c r="H22" s="1">
        <f t="shared" si="1"/>
        <v>1241</v>
      </c>
      <c r="I22" s="654"/>
      <c r="J22" s="548"/>
      <c r="K22" s="167">
        <v>1241</v>
      </c>
      <c r="L22" s="167">
        <v>689</v>
      </c>
      <c r="M22" s="313"/>
      <c r="N22" s="313"/>
      <c r="O22" s="545"/>
    </row>
    <row r="23" spans="1:15" ht="25.5" x14ac:dyDescent="0.2">
      <c r="A23" s="639">
        <v>9</v>
      </c>
      <c r="B23" s="319" t="s">
        <v>99</v>
      </c>
      <c r="C23" s="320" t="s">
        <v>195</v>
      </c>
      <c r="D23" s="321">
        <v>1027</v>
      </c>
      <c r="E23" s="322" t="s">
        <v>196</v>
      </c>
      <c r="F23" s="323">
        <v>1</v>
      </c>
      <c r="G23" s="642" t="str">
        <f t="shared" si="0"/>
        <v>1027*1</v>
      </c>
      <c r="H23" s="1">
        <f t="shared" si="1"/>
        <v>1027</v>
      </c>
      <c r="I23" s="654"/>
      <c r="J23" s="545"/>
      <c r="K23" s="511"/>
      <c r="L23" s="511"/>
      <c r="M23" s="511"/>
      <c r="N23" s="545"/>
      <c r="O23" s="545"/>
    </row>
    <row r="24" spans="1:15" x14ac:dyDescent="0.2">
      <c r="A24" s="324"/>
      <c r="B24" s="325" t="s">
        <v>197</v>
      </c>
      <c r="C24" s="326"/>
      <c r="D24" s="327"/>
      <c r="E24" s="326"/>
      <c r="F24" s="328"/>
      <c r="G24" s="329"/>
      <c r="H24" s="165"/>
      <c r="I24" s="654"/>
      <c r="J24" s="545"/>
      <c r="K24" s="511"/>
      <c r="L24" s="511"/>
      <c r="M24" s="511"/>
      <c r="N24" s="545"/>
      <c r="O24" s="545"/>
    </row>
    <row r="25" spans="1:15" ht="38.25" x14ac:dyDescent="0.2">
      <c r="A25" s="78">
        <v>10</v>
      </c>
      <c r="B25" s="172" t="s">
        <v>100</v>
      </c>
      <c r="C25" s="330" t="s">
        <v>198</v>
      </c>
      <c r="D25" s="174">
        <v>1222</v>
      </c>
      <c r="E25" s="641" t="s">
        <v>199</v>
      </c>
      <c r="F25" s="643">
        <v>1</v>
      </c>
      <c r="G25" s="643" t="str">
        <f>CONCATENATE(D25,"*",F25)</f>
        <v>1222*1</v>
      </c>
      <c r="H25" s="1">
        <f>ROUND(D25*F25,2)</f>
        <v>1222</v>
      </c>
      <c r="I25" s="654"/>
      <c r="J25" s="331">
        <v>335</v>
      </c>
      <c r="K25" s="511"/>
      <c r="L25" s="511"/>
      <c r="M25" s="511"/>
      <c r="N25" s="545"/>
      <c r="O25" s="545"/>
    </row>
    <row r="26" spans="1:15" ht="38.25" x14ac:dyDescent="0.2">
      <c r="A26" s="78">
        <v>11</v>
      </c>
      <c r="B26" s="171" t="s">
        <v>189</v>
      </c>
      <c r="C26" s="80" t="s">
        <v>200</v>
      </c>
      <c r="D26" s="177">
        <v>335</v>
      </c>
      <c r="E26" s="171" t="s">
        <v>201</v>
      </c>
      <c r="F26" s="178"/>
      <c r="G26" s="178"/>
      <c r="H26" s="165"/>
      <c r="I26" s="654"/>
      <c r="J26" s="545"/>
      <c r="K26" s="545"/>
      <c r="L26" s="545"/>
      <c r="M26" s="545"/>
      <c r="N26" s="545"/>
      <c r="O26" s="545"/>
    </row>
    <row r="27" spans="1:15" ht="25.5" x14ac:dyDescent="0.2">
      <c r="A27" s="332" t="s">
        <v>101</v>
      </c>
      <c r="B27" s="79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55"/>
      <c r="D27" s="55">
        <v>8</v>
      </c>
      <c r="E27" s="80"/>
      <c r="F27" s="81">
        <v>6</v>
      </c>
      <c r="G27" s="81" t="str">
        <f>CONCATENATE(D26,"*",D27,"*",F27)</f>
        <v>335*8*6</v>
      </c>
      <c r="H27" s="82">
        <f>ROUND(D26*D27*F27,2)</f>
        <v>16080</v>
      </c>
      <c r="I27" s="656"/>
      <c r="J27" s="545"/>
      <c r="K27" s="545"/>
      <c r="L27" s="545"/>
      <c r="M27" s="545"/>
      <c r="N27" s="545"/>
      <c r="O27" s="545"/>
    </row>
    <row r="28" spans="1:15" ht="25.5" x14ac:dyDescent="0.2">
      <c r="A28" s="332" t="s">
        <v>114</v>
      </c>
      <c r="B28" s="79" t="str">
        <f t="shared" ref="B28:B29" si="2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55"/>
      <c r="D28" s="55">
        <v>2</v>
      </c>
      <c r="E28" s="80"/>
      <c r="F28" s="81">
        <v>4</v>
      </c>
      <c r="G28" s="81" t="str">
        <f>CONCATENATE(D26,"*",D28,"*",F28)</f>
        <v>335*2*4</v>
      </c>
      <c r="H28" s="82">
        <f>ROUND(D26*D28*F28,2)</f>
        <v>2680</v>
      </c>
      <c r="I28" s="656"/>
      <c r="J28" s="545"/>
      <c r="K28" s="545"/>
      <c r="L28" s="545"/>
      <c r="M28" s="545"/>
      <c r="N28" s="545"/>
      <c r="O28" s="545"/>
    </row>
    <row r="29" spans="1:15" ht="25.5" x14ac:dyDescent="0.2">
      <c r="A29" s="333" t="s">
        <v>115</v>
      </c>
      <c r="B29" s="79" t="str">
        <f t="shared" si="2"/>
        <v>Источники неорганизованные, (кол-во 2) веществ в каждом 2</v>
      </c>
      <c r="C29" s="55"/>
      <c r="D29" s="55">
        <v>2</v>
      </c>
      <c r="E29" s="80"/>
      <c r="F29" s="81">
        <v>2</v>
      </c>
      <c r="G29" s="81" t="str">
        <f>CONCATENATE(D26,"*",D29,"*",F29)</f>
        <v>335*2*2</v>
      </c>
      <c r="H29" s="82">
        <f>ROUND(D26*D29*F29,2)</f>
        <v>1340</v>
      </c>
      <c r="I29" s="656"/>
      <c r="J29" s="545"/>
      <c r="K29" s="545"/>
      <c r="L29" s="545"/>
      <c r="M29" s="545"/>
      <c r="N29" s="545"/>
      <c r="O29" s="545"/>
    </row>
    <row r="30" spans="1:15" x14ac:dyDescent="0.2">
      <c r="A30" s="78"/>
      <c r="B30" s="334" t="s">
        <v>102</v>
      </c>
      <c r="C30" s="79"/>
      <c r="D30" s="179"/>
      <c r="E30" s="79"/>
      <c r="F30" s="81"/>
      <c r="G30" s="335">
        <f>SUM(H27:H29)</f>
        <v>20100</v>
      </c>
      <c r="H30" s="77"/>
      <c r="I30" s="655"/>
    </row>
    <row r="31" spans="1:15" ht="21.75" customHeight="1" x14ac:dyDescent="0.2">
      <c r="A31" s="78">
        <v>12</v>
      </c>
      <c r="B31" s="168" t="s">
        <v>188</v>
      </c>
      <c r="C31" s="336">
        <v>0.3</v>
      </c>
      <c r="D31" s="177"/>
      <c r="E31" s="171" t="s">
        <v>202</v>
      </c>
      <c r="F31" s="178"/>
      <c r="G31" s="337" t="str">
        <f>CONCATENATE(G30," * ",C31)</f>
        <v>20100 * 0,3</v>
      </c>
      <c r="H31" s="1">
        <f>ROUND(G30*C31,2)</f>
        <v>6030</v>
      </c>
      <c r="I31" s="654"/>
    </row>
    <row r="32" spans="1:15" ht="25.5" x14ac:dyDescent="0.2">
      <c r="A32" s="78">
        <v>13</v>
      </c>
      <c r="B32" s="168" t="s">
        <v>103</v>
      </c>
      <c r="C32" s="336">
        <v>0.14000000000000001</v>
      </c>
      <c r="D32" s="177"/>
      <c r="E32" s="171" t="s">
        <v>203</v>
      </c>
      <c r="F32" s="178"/>
      <c r="G32" s="337" t="str">
        <f>CONCATENATE(G30," * ",C32)</f>
        <v>20100 * 0,14</v>
      </c>
      <c r="H32" s="1">
        <f>ROUND(G30*C32,2)</f>
        <v>2814</v>
      </c>
      <c r="I32" s="654"/>
    </row>
    <row r="33" spans="1:10" ht="24.75" customHeight="1" x14ac:dyDescent="0.2">
      <c r="A33" s="78">
        <v>14</v>
      </c>
      <c r="B33" s="168" t="s">
        <v>104</v>
      </c>
      <c r="C33" s="336">
        <v>0.14000000000000001</v>
      </c>
      <c r="D33" s="177"/>
      <c r="E33" s="171" t="s">
        <v>204</v>
      </c>
      <c r="F33" s="178"/>
      <c r="G33" s="337" t="str">
        <f>CONCATENATE(G30," * ",C33)</f>
        <v>20100 * 0,14</v>
      </c>
      <c r="H33" s="515">
        <f>ROUND(G30*C33,2)</f>
        <v>2814</v>
      </c>
      <c r="I33" s="654"/>
    </row>
    <row r="34" spans="1:10" ht="38.25" hidden="1" x14ac:dyDescent="0.2">
      <c r="A34" s="78">
        <v>15</v>
      </c>
      <c r="B34" s="318" t="s">
        <v>300</v>
      </c>
      <c r="C34" s="643" t="s">
        <v>301</v>
      </c>
      <c r="D34" s="174">
        <v>653</v>
      </c>
      <c r="E34" s="641" t="s">
        <v>302</v>
      </c>
      <c r="F34" s="643">
        <v>0</v>
      </c>
      <c r="G34" s="643" t="str">
        <f>CONCATENATE(D34,"*",F34)</f>
        <v>653*0</v>
      </c>
      <c r="H34" s="516">
        <f>ROUND(D34*F34,2)</f>
        <v>0</v>
      </c>
      <c r="I34" s="654"/>
    </row>
    <row r="35" spans="1:10" ht="38.25" x14ac:dyDescent="0.2">
      <c r="A35" s="78">
        <v>16</v>
      </c>
      <c r="B35" s="168" t="s">
        <v>205</v>
      </c>
      <c r="C35" s="178" t="s">
        <v>206</v>
      </c>
      <c r="D35" s="177">
        <v>932</v>
      </c>
      <c r="E35" s="171" t="s">
        <v>207</v>
      </c>
      <c r="F35" s="178">
        <v>1</v>
      </c>
      <c r="G35" s="178" t="str">
        <f>CONCATENATE(D35,"*",F35)</f>
        <v>932*1</v>
      </c>
      <c r="H35" s="1">
        <f>ROUND(D35*F35,2)</f>
        <v>932</v>
      </c>
      <c r="I35" s="654"/>
    </row>
    <row r="36" spans="1:10" ht="38.25" x14ac:dyDescent="0.2">
      <c r="A36" s="78">
        <v>17</v>
      </c>
      <c r="B36" s="168" t="s">
        <v>58</v>
      </c>
      <c r="C36" s="336">
        <v>0.38</v>
      </c>
      <c r="D36" s="177"/>
      <c r="E36" s="171" t="s">
        <v>208</v>
      </c>
      <c r="F36" s="178"/>
      <c r="G36" s="337" t="str">
        <f>CONCATENATE(H35,"*",C36)</f>
        <v>932*0,38</v>
      </c>
      <c r="H36" s="1">
        <f>ROUND(H35*C36,2)</f>
        <v>354.16</v>
      </c>
      <c r="I36" s="654"/>
    </row>
    <row r="37" spans="1:10" ht="51" x14ac:dyDescent="0.2">
      <c r="A37" s="78">
        <v>18</v>
      </c>
      <c r="B37" s="168" t="s">
        <v>105</v>
      </c>
      <c r="C37" s="178" t="s">
        <v>106</v>
      </c>
      <c r="D37" s="177">
        <v>212</v>
      </c>
      <c r="E37" s="171" t="s">
        <v>209</v>
      </c>
      <c r="F37" s="178">
        <v>4</v>
      </c>
      <c r="G37" s="178" t="str">
        <f>CONCATENATE(D37,"*",F37)</f>
        <v>212*4</v>
      </c>
      <c r="H37" s="165">
        <f>ROUND(D37*F37,2)</f>
        <v>848</v>
      </c>
      <c r="I37" s="654"/>
    </row>
    <row r="38" spans="1:10" ht="51.75" customHeight="1" x14ac:dyDescent="0.2">
      <c r="A38" s="78">
        <v>19</v>
      </c>
      <c r="B38" s="338" t="s">
        <v>59</v>
      </c>
      <c r="C38" s="642" t="s">
        <v>106</v>
      </c>
      <c r="D38" s="339">
        <v>850</v>
      </c>
      <c r="E38" s="640" t="s">
        <v>210</v>
      </c>
      <c r="F38" s="642">
        <f>F37</f>
        <v>4</v>
      </c>
      <c r="G38" s="642" t="str">
        <f>CONCATENATE(D38,"*",F38)</f>
        <v>850*4</v>
      </c>
      <c r="H38" s="165">
        <f>ROUND(D38*F38,2)</f>
        <v>3400</v>
      </c>
      <c r="I38" s="654"/>
    </row>
    <row r="39" spans="1:10" ht="24.75" customHeight="1" x14ac:dyDescent="0.2">
      <c r="A39" s="78">
        <v>20</v>
      </c>
      <c r="B39" s="338" t="s">
        <v>211</v>
      </c>
      <c r="C39" s="340">
        <v>0.4</v>
      </c>
      <c r="D39" s="339"/>
      <c r="E39" s="640" t="s">
        <v>212</v>
      </c>
      <c r="F39" s="642"/>
      <c r="G39" s="644" t="str">
        <f>CONCATENATE("(",H37,"+",H38,")","*",0.4)</f>
        <v>(848+3400)*0,4</v>
      </c>
      <c r="H39" s="1">
        <f>ROUND((H37+H38)*C39,2)</f>
        <v>1699.2</v>
      </c>
      <c r="I39" s="654"/>
    </row>
    <row r="40" spans="1:10" x14ac:dyDescent="0.2">
      <c r="A40" s="341"/>
      <c r="B40" s="342" t="s">
        <v>213</v>
      </c>
      <c r="C40" s="343"/>
      <c r="D40" s="327"/>
      <c r="E40" s="326"/>
      <c r="F40" s="343"/>
      <c r="G40" s="517"/>
      <c r="J40" s="344"/>
    </row>
    <row r="41" spans="1:10" ht="51" x14ac:dyDescent="0.2">
      <c r="A41" s="78">
        <v>21</v>
      </c>
      <c r="B41" s="168" t="s">
        <v>214</v>
      </c>
      <c r="C41" s="178" t="s">
        <v>215</v>
      </c>
      <c r="D41" s="177">
        <v>729</v>
      </c>
      <c r="E41" s="171" t="s">
        <v>216</v>
      </c>
      <c r="F41" s="178">
        <v>1</v>
      </c>
      <c r="G41" s="178" t="str">
        <f>CONCATENATE(D41,"*",F41)</f>
        <v>729*1</v>
      </c>
      <c r="H41" s="1">
        <f>ROUND(D41*F41,2)</f>
        <v>729</v>
      </c>
      <c r="I41" s="654"/>
    </row>
    <row r="42" spans="1:10" ht="27.75" customHeight="1" x14ac:dyDescent="0.2">
      <c r="A42" s="78">
        <v>22</v>
      </c>
      <c r="B42" s="338" t="s">
        <v>217</v>
      </c>
      <c r="C42" s="340">
        <v>0.25</v>
      </c>
      <c r="D42" s="339"/>
      <c r="E42" s="640" t="s">
        <v>218</v>
      </c>
      <c r="F42" s="642"/>
      <c r="G42" s="644" t="str">
        <f>CONCATENATE(H41,"*",C42)</f>
        <v>729*0,25</v>
      </c>
      <c r="H42" s="1">
        <f>ROUND(H41*C42,2)</f>
        <v>182.25</v>
      </c>
      <c r="I42" s="654"/>
    </row>
    <row r="43" spans="1:10" ht="27.75" customHeight="1" x14ac:dyDescent="0.2">
      <c r="A43" s="341"/>
      <c r="B43" s="342" t="s">
        <v>219</v>
      </c>
      <c r="C43" s="345"/>
      <c r="D43" s="327"/>
      <c r="E43" s="326"/>
      <c r="F43" s="343"/>
      <c r="G43" s="346"/>
      <c r="H43" s="165"/>
      <c r="I43" s="654"/>
    </row>
    <row r="44" spans="1:10" x14ac:dyDescent="0.2">
      <c r="A44" s="347"/>
      <c r="B44" s="348" t="s">
        <v>69</v>
      </c>
      <c r="C44" s="349"/>
      <c r="D44" s="350"/>
      <c r="E44" s="351"/>
      <c r="F44" s="352"/>
      <c r="G44" s="353"/>
      <c r="H44" s="518"/>
      <c r="I44" s="654"/>
    </row>
    <row r="45" spans="1:10" ht="25.5" x14ac:dyDescent="0.2">
      <c r="A45" s="799">
        <v>23</v>
      </c>
      <c r="B45" s="801" t="s">
        <v>220</v>
      </c>
      <c r="C45" s="803" t="s">
        <v>221</v>
      </c>
      <c r="D45" s="805">
        <v>410</v>
      </c>
      <c r="E45" s="640" t="s">
        <v>222</v>
      </c>
      <c r="F45" s="642">
        <v>1</v>
      </c>
      <c r="G45" s="642" t="str">
        <f>CONCATENATE(D45,"*",F45,"*",F46)</f>
        <v>410*1*1</v>
      </c>
      <c r="H45" s="518">
        <f>ROUND(D45*F45*F46,2)</f>
        <v>410</v>
      </c>
      <c r="I45" s="654"/>
    </row>
    <row r="46" spans="1:10" x14ac:dyDescent="0.2">
      <c r="A46" s="800"/>
      <c r="B46" s="802"/>
      <c r="C46" s="804"/>
      <c r="D46" s="806"/>
      <c r="E46" s="641" t="s">
        <v>223</v>
      </c>
      <c r="F46" s="643">
        <v>1</v>
      </c>
      <c r="G46" s="643"/>
      <c r="H46" s="519"/>
      <c r="I46" s="654"/>
    </row>
    <row r="47" spans="1:10" ht="25.5" x14ac:dyDescent="0.2">
      <c r="A47" s="78">
        <v>24</v>
      </c>
      <c r="B47" s="168" t="s">
        <v>225</v>
      </c>
      <c r="C47" s="642" t="s">
        <v>224</v>
      </c>
      <c r="D47" s="644">
        <v>410</v>
      </c>
      <c r="E47" s="640" t="s">
        <v>226</v>
      </c>
      <c r="F47" s="642">
        <v>1</v>
      </c>
      <c r="G47" s="178" t="str">
        <f t="shared" ref="G47:G48" si="3">CONCATENATE(D47,"*",F47)</f>
        <v>410*1</v>
      </c>
      <c r="H47" s="165">
        <f t="shared" ref="H47:H48" si="4">ROUND(D47*F47,2)</f>
        <v>410</v>
      </c>
      <c r="I47" s="654"/>
    </row>
    <row r="48" spans="1:10" ht="42.75" customHeight="1" x14ac:dyDescent="0.2">
      <c r="A48" s="78">
        <v>25</v>
      </c>
      <c r="B48" s="168" t="s">
        <v>227</v>
      </c>
      <c r="C48" s="642" t="s">
        <v>224</v>
      </c>
      <c r="D48" s="644">
        <v>1650</v>
      </c>
      <c r="E48" s="640" t="s">
        <v>228</v>
      </c>
      <c r="F48" s="642">
        <v>6</v>
      </c>
      <c r="G48" s="178" t="str">
        <f t="shared" si="3"/>
        <v>1650*6</v>
      </c>
      <c r="H48" s="165">
        <f t="shared" si="4"/>
        <v>9900</v>
      </c>
      <c r="I48" s="654"/>
    </row>
    <row r="49" spans="1:9" ht="25.5" x14ac:dyDescent="0.2">
      <c r="A49" s="799">
        <v>26</v>
      </c>
      <c r="B49" s="801" t="s">
        <v>178</v>
      </c>
      <c r="C49" s="803" t="s">
        <v>221</v>
      </c>
      <c r="D49" s="805">
        <v>1648</v>
      </c>
      <c r="E49" s="640" t="s">
        <v>229</v>
      </c>
      <c r="F49" s="642">
        <v>1</v>
      </c>
      <c r="G49" s="642" t="str">
        <f>CONCATENATE(D49,"*",F49,"*",F50)</f>
        <v>1648*1*1</v>
      </c>
      <c r="H49" s="518">
        <f>ROUND(D49*F49*F50,2)</f>
        <v>1648</v>
      </c>
      <c r="I49" s="654"/>
    </row>
    <row r="50" spans="1:9" x14ac:dyDescent="0.2">
      <c r="A50" s="800"/>
      <c r="B50" s="802"/>
      <c r="C50" s="804"/>
      <c r="D50" s="806"/>
      <c r="E50" s="641" t="s">
        <v>223</v>
      </c>
      <c r="F50" s="643">
        <f>F46</f>
        <v>1</v>
      </c>
      <c r="G50" s="643"/>
      <c r="H50" s="354"/>
      <c r="I50" s="654"/>
    </row>
    <row r="51" spans="1:9" ht="25.5" x14ac:dyDescent="0.2">
      <c r="A51" s="799">
        <v>27</v>
      </c>
      <c r="B51" s="801" t="s">
        <v>230</v>
      </c>
      <c r="C51" s="803" t="s">
        <v>221</v>
      </c>
      <c r="D51" s="805">
        <v>1757</v>
      </c>
      <c r="E51" s="640" t="s">
        <v>231</v>
      </c>
      <c r="F51" s="642">
        <v>1</v>
      </c>
      <c r="G51" s="642" t="str">
        <f>CONCATENATE(D51,"*",F51,"*",F52)</f>
        <v>1757*1*1</v>
      </c>
      <c r="H51" s="518">
        <f>ROUND(D51*F51*F52,2)</f>
        <v>1757</v>
      </c>
      <c r="I51" s="654"/>
    </row>
    <row r="52" spans="1:9" x14ac:dyDescent="0.2">
      <c r="A52" s="800"/>
      <c r="B52" s="802"/>
      <c r="C52" s="804"/>
      <c r="D52" s="806"/>
      <c r="E52" s="641" t="s">
        <v>223</v>
      </c>
      <c r="F52" s="643">
        <f>F46</f>
        <v>1</v>
      </c>
      <c r="G52" s="643"/>
      <c r="H52" s="354"/>
      <c r="I52" s="654"/>
    </row>
    <row r="53" spans="1:9" ht="25.5" x14ac:dyDescent="0.2">
      <c r="A53" s="799">
        <v>28</v>
      </c>
      <c r="B53" s="801" t="s">
        <v>179</v>
      </c>
      <c r="C53" s="803" t="s">
        <v>221</v>
      </c>
      <c r="D53" s="805">
        <v>439</v>
      </c>
      <c r="E53" s="640" t="s">
        <v>232</v>
      </c>
      <c r="F53" s="642">
        <v>1</v>
      </c>
      <c r="G53" s="642" t="str">
        <f>CONCATENATE(D53,"*",F53,"*",F54)</f>
        <v>439*1*1</v>
      </c>
      <c r="H53" s="518">
        <f>ROUND(D53*F53*F54,2)</f>
        <v>439</v>
      </c>
      <c r="I53" s="654"/>
    </row>
    <row r="54" spans="1:9" x14ac:dyDescent="0.2">
      <c r="A54" s="800"/>
      <c r="B54" s="802"/>
      <c r="C54" s="804"/>
      <c r="D54" s="806"/>
      <c r="E54" s="641" t="s">
        <v>223</v>
      </c>
      <c r="F54" s="643">
        <f>F46</f>
        <v>1</v>
      </c>
      <c r="G54" s="643"/>
    </row>
    <row r="55" spans="1:9" x14ac:dyDescent="0.2">
      <c r="A55" s="78"/>
      <c r="B55" s="44" t="s">
        <v>233</v>
      </c>
      <c r="C55" s="171"/>
      <c r="D55" s="177"/>
      <c r="E55" s="171"/>
      <c r="F55" s="178"/>
      <c r="G55" s="520"/>
      <c r="H55" s="77">
        <f>SUM(H17:H54)</f>
        <v>61262.83</v>
      </c>
      <c r="I55" s="655"/>
    </row>
    <row r="56" spans="1:9" x14ac:dyDescent="0.2">
      <c r="A56" s="78"/>
      <c r="B56" s="171" t="s">
        <v>60</v>
      </c>
      <c r="C56" s="355">
        <v>9.7000000000000003E-3</v>
      </c>
      <c r="D56" s="542"/>
      <c r="E56" s="171" t="s">
        <v>234</v>
      </c>
      <c r="F56" s="178"/>
      <c r="G56" s="356" t="str">
        <f>CONCATENATE(H55,"*",C56)</f>
        <v>61262,83*0,0097</v>
      </c>
      <c r="H56" s="1">
        <f>ROUND(H55*0.0097,2)</f>
        <v>594.25</v>
      </c>
      <c r="I56" s="654"/>
    </row>
    <row r="57" spans="1:9" x14ac:dyDescent="0.2">
      <c r="A57" s="78"/>
      <c r="B57" s="44" t="s">
        <v>107</v>
      </c>
      <c r="C57" s="171"/>
      <c r="D57" s="177"/>
      <c r="E57" s="171"/>
      <c r="F57" s="178"/>
      <c r="G57" s="178" t="str">
        <f>CONCATENATE(H55," + ",H56)</f>
        <v>61262,83 + 594,25</v>
      </c>
      <c r="H57" s="77">
        <f>ROUND(H55+H56,2)</f>
        <v>61857.08</v>
      </c>
      <c r="I57" s="655"/>
    </row>
    <row r="58" spans="1:9" x14ac:dyDescent="0.2">
      <c r="A58" s="78"/>
      <c r="B58" s="171" t="s">
        <v>61</v>
      </c>
      <c r="C58" s="355">
        <v>1.11E-2</v>
      </c>
      <c r="D58" s="542"/>
      <c r="E58" s="171" t="s">
        <v>235</v>
      </c>
      <c r="F58" s="356"/>
      <c r="G58" s="356" t="str">
        <f>CONCATENATE(H57,"*",C58)</f>
        <v>61857,08*0,0111</v>
      </c>
      <c r="H58" s="1">
        <f>ROUND(H57*C58,2)</f>
        <v>686.61</v>
      </c>
      <c r="I58" s="654"/>
    </row>
    <row r="59" spans="1:9" x14ac:dyDescent="0.2">
      <c r="A59" s="78"/>
      <c r="B59" s="171" t="s">
        <v>236</v>
      </c>
      <c r="C59" s="355">
        <v>2.5700000000000001E-2</v>
      </c>
      <c r="D59" s="542"/>
      <c r="E59" s="171" t="s">
        <v>237</v>
      </c>
      <c r="F59" s="356">
        <v>5</v>
      </c>
      <c r="G59" s="356" t="str">
        <f>CONCATENATE(H57,"*",C59,)</f>
        <v>61857,08*0,0257</v>
      </c>
      <c r="H59" s="1">
        <f>ROUND(H57*C59,2)</f>
        <v>1589.73</v>
      </c>
      <c r="I59" s="654"/>
    </row>
    <row r="60" spans="1:9" ht="36" x14ac:dyDescent="0.2">
      <c r="A60" s="639"/>
      <c r="B60" s="322"/>
      <c r="C60" s="357">
        <v>0.15</v>
      </c>
      <c r="D60" s="543"/>
      <c r="E60" s="358" t="s">
        <v>303</v>
      </c>
      <c r="F60" s="359"/>
      <c r="G60" s="360" t="str">
        <f>CONCATENATE(H59,"*",C60)</f>
        <v>1589,73*0,15</v>
      </c>
      <c r="H60" s="298">
        <f>ROUND(H59*0.15,2)</f>
        <v>238.46</v>
      </c>
      <c r="I60" s="654"/>
    </row>
    <row r="61" spans="1:9" ht="39" thickBot="1" x14ac:dyDescent="0.25">
      <c r="A61" s="361"/>
      <c r="B61" s="362" t="s">
        <v>62</v>
      </c>
      <c r="C61" s="362"/>
      <c r="D61" s="363"/>
      <c r="E61" s="362"/>
      <c r="F61" s="364"/>
      <c r="G61" s="364" t="str">
        <f>CONCATENATE(H57," + ",H58,"+",H59," + ",H16,"+",H60)</f>
        <v>61857,08 + 686,61+1589,73 + 1476,5+238,46</v>
      </c>
      <c r="H61" s="365">
        <f>ROUND(H57+H58+H59+H60+H16,2)</f>
        <v>65848.38</v>
      </c>
      <c r="I61" s="655"/>
    </row>
    <row r="64" spans="1:9" x14ac:dyDescent="0.2">
      <c r="B64" s="261">
        <f>Т.с.!B285</f>
        <v>0</v>
      </c>
    </row>
    <row r="68" spans="2:2" x14ac:dyDescent="0.2">
      <c r="B68" s="261">
        <f>Т.с.!B288</f>
        <v>0</v>
      </c>
    </row>
  </sheetData>
  <mergeCells count="23">
    <mergeCell ref="A51:A52"/>
    <mergeCell ref="B51:B52"/>
    <mergeCell ref="C51:C52"/>
    <mergeCell ref="D51:D52"/>
    <mergeCell ref="A53:A54"/>
    <mergeCell ref="B53:B54"/>
    <mergeCell ref="C53:C54"/>
    <mergeCell ref="D53:D54"/>
    <mergeCell ref="A49:A50"/>
    <mergeCell ref="B49:B50"/>
    <mergeCell ref="C49:C50"/>
    <mergeCell ref="D49:D50"/>
    <mergeCell ref="A11:H11"/>
    <mergeCell ref="B12:C12"/>
    <mergeCell ref="A45:A46"/>
    <mergeCell ref="B45:B46"/>
    <mergeCell ref="C45:C46"/>
    <mergeCell ref="D45:D46"/>
    <mergeCell ref="F1:H1"/>
    <mergeCell ref="F2:H2"/>
    <mergeCell ref="A5:H5"/>
    <mergeCell ref="A7:H7"/>
    <mergeCell ref="A9:H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="85" zoomScaleNormal="100" zoomScaleSheetLayoutView="85" workbookViewId="0">
      <selection sqref="A1:XFD3"/>
    </sheetView>
  </sheetViews>
  <sheetFormatPr defaultColWidth="9.140625" defaultRowHeight="12.75" x14ac:dyDescent="0.2"/>
  <cols>
    <col min="1" max="1" width="3.85546875" style="259" customWidth="1"/>
    <col min="2" max="2" width="23.7109375" style="259" customWidth="1"/>
    <col min="3" max="3" width="13.28515625" style="259" customWidth="1"/>
    <col min="4" max="4" width="11.7109375" style="269" customWidth="1"/>
    <col min="5" max="5" width="17.42578125" style="259" customWidth="1"/>
    <col min="6" max="6" width="7.140625" style="115" customWidth="1"/>
    <col min="7" max="7" width="16.85546875" style="259" customWidth="1"/>
    <col min="8" max="8" width="14.140625" style="269" customWidth="1"/>
    <col min="9" max="9" width="20.28515625" style="66" customWidth="1"/>
    <col min="10" max="11" width="30.5703125" style="66" customWidth="1"/>
    <col min="12" max="16384" width="9.140625" style="66"/>
  </cols>
  <sheetData>
    <row r="1" spans="1:11" s="85" customFormat="1" x14ac:dyDescent="0.2">
      <c r="A1" s="83"/>
      <c r="B1" s="83"/>
      <c r="C1" s="84"/>
      <c r="E1" s="83"/>
      <c r="F1" s="86"/>
    </row>
    <row r="2" spans="1:11" s="85" customFormat="1" x14ac:dyDescent="0.2">
      <c r="A2" s="83"/>
      <c r="B2" s="83"/>
      <c r="C2" s="84"/>
      <c r="E2" s="87"/>
      <c r="F2" s="262"/>
    </row>
    <row r="3" spans="1:11" s="85" customFormat="1" x14ac:dyDescent="0.2">
      <c r="A3" s="83"/>
      <c r="B3" s="88"/>
      <c r="C3" s="84"/>
      <c r="E3" s="87"/>
      <c r="F3" s="262"/>
    </row>
    <row r="4" spans="1:11" x14ac:dyDescent="0.2">
      <c r="D4" s="89"/>
      <c r="F4" s="814"/>
      <c r="G4" s="814"/>
      <c r="H4" s="814"/>
    </row>
    <row r="5" spans="1:11" x14ac:dyDescent="0.2">
      <c r="D5" s="89"/>
      <c r="F5" s="534"/>
      <c r="G5" s="533"/>
      <c r="H5" s="90"/>
    </row>
    <row r="6" spans="1:11" x14ac:dyDescent="0.2">
      <c r="D6" s="89"/>
      <c r="F6" s="534"/>
      <c r="G6" s="533"/>
      <c r="H6" s="90"/>
    </row>
    <row r="7" spans="1:11" ht="14.25" x14ac:dyDescent="0.2">
      <c r="A7" s="815" t="s">
        <v>177</v>
      </c>
      <c r="B7" s="815"/>
      <c r="C7" s="815"/>
      <c r="D7" s="815"/>
      <c r="E7" s="815"/>
      <c r="F7" s="815"/>
      <c r="G7" s="815"/>
      <c r="H7" s="815"/>
    </row>
    <row r="8" spans="1:11" x14ac:dyDescent="0.2">
      <c r="A8" s="535"/>
      <c r="B8" s="535"/>
      <c r="C8" s="535"/>
      <c r="D8" s="535"/>
      <c r="E8" s="535"/>
      <c r="F8" s="535"/>
      <c r="G8" s="535"/>
      <c r="H8" s="535"/>
    </row>
    <row r="9" spans="1:11" ht="86.25" customHeight="1" x14ac:dyDescent="0.2">
      <c r="A9" s="816" t="str">
        <f>'С С Р'!A6:G6</f>
        <v xml:space="preserve"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комплексной застройки, расположенных по адресу: 
г. Москва, Золоторожский Вал, вл. 11. </v>
      </c>
      <c r="B9" s="817"/>
      <c r="C9" s="817"/>
      <c r="D9" s="817"/>
      <c r="E9" s="817"/>
      <c r="F9" s="817"/>
      <c r="G9" s="817"/>
      <c r="H9" s="817"/>
      <c r="J9" s="91" t="s">
        <v>116</v>
      </c>
      <c r="K9" s="91" t="s">
        <v>117</v>
      </c>
    </row>
    <row r="10" spans="1:11" x14ac:dyDescent="0.2">
      <c r="A10" s="92"/>
      <c r="B10" s="260"/>
      <c r="C10" s="260"/>
      <c r="D10" s="260"/>
      <c r="E10" s="260"/>
      <c r="F10" s="260"/>
      <c r="G10" s="260"/>
      <c r="H10" s="260"/>
      <c r="J10" s="555"/>
      <c r="K10" s="555"/>
    </row>
    <row r="11" spans="1:11" x14ac:dyDescent="0.2">
      <c r="A11" s="818" t="s">
        <v>87</v>
      </c>
      <c r="B11" s="818"/>
      <c r="C11" s="818"/>
      <c r="D11" s="818"/>
      <c r="E11" s="818"/>
      <c r="F11" s="818"/>
      <c r="G11" s="818"/>
      <c r="H11" s="818"/>
      <c r="J11" s="91" t="s">
        <v>118</v>
      </c>
      <c r="K11" s="91">
        <v>2500</v>
      </c>
    </row>
    <row r="12" spans="1:11" x14ac:dyDescent="0.2">
      <c r="A12" s="535"/>
      <c r="B12" s="535"/>
      <c r="C12" s="535"/>
      <c r="D12" s="535"/>
      <c r="E12" s="535"/>
      <c r="F12" s="535"/>
      <c r="G12" s="535"/>
      <c r="H12" s="535"/>
      <c r="J12" s="91" t="s">
        <v>119</v>
      </c>
      <c r="K12" s="91">
        <v>4500</v>
      </c>
    </row>
    <row r="13" spans="1:11" x14ac:dyDescent="0.2">
      <c r="A13" s="813"/>
      <c r="B13" s="813"/>
      <c r="C13" s="813"/>
      <c r="D13" s="813"/>
      <c r="E13" s="813"/>
      <c r="F13" s="813"/>
      <c r="G13" s="813"/>
      <c r="H13" s="813"/>
      <c r="J13" s="91" t="s">
        <v>120</v>
      </c>
      <c r="K13" s="91">
        <v>8000</v>
      </c>
    </row>
    <row r="14" spans="1:11" ht="37.5" customHeight="1" x14ac:dyDescent="0.2">
      <c r="A14" s="812" t="s">
        <v>311</v>
      </c>
      <c r="B14" s="813"/>
      <c r="C14" s="813"/>
      <c r="D14" s="813"/>
      <c r="E14" s="813"/>
      <c r="F14" s="813"/>
      <c r="G14" s="813"/>
      <c r="H14" s="813"/>
      <c r="I14" s="526"/>
      <c r="J14" s="91" t="s">
        <v>121</v>
      </c>
      <c r="K14" s="91">
        <v>16500</v>
      </c>
    </row>
    <row r="15" spans="1:11" x14ac:dyDescent="0.2">
      <c r="A15" s="813"/>
      <c r="B15" s="813"/>
      <c r="C15" s="813"/>
      <c r="D15" s="813"/>
      <c r="E15" s="813"/>
      <c r="F15" s="813"/>
      <c r="G15" s="813"/>
      <c r="H15" s="813"/>
      <c r="J15" s="91" t="s">
        <v>122</v>
      </c>
      <c r="K15" s="91">
        <v>23000</v>
      </c>
    </row>
    <row r="16" spans="1:11" x14ac:dyDescent="0.2">
      <c r="A16" s="813"/>
      <c r="B16" s="813"/>
      <c r="C16" s="813"/>
      <c r="D16" s="813"/>
      <c r="E16" s="813"/>
      <c r="F16" s="813"/>
      <c r="G16" s="813"/>
      <c r="H16" s="813"/>
      <c r="I16" s="366"/>
      <c r="J16" s="91" t="s">
        <v>123</v>
      </c>
      <c r="K16" s="91">
        <v>34000</v>
      </c>
    </row>
    <row r="17" spans="1:11" x14ac:dyDescent="0.2">
      <c r="A17" s="533"/>
      <c r="B17" s="533"/>
      <c r="C17" s="533"/>
      <c r="D17" s="533"/>
      <c r="E17" s="533"/>
      <c r="F17" s="533"/>
      <c r="G17" s="533"/>
      <c r="H17" s="533"/>
      <c r="J17" s="91" t="s">
        <v>124</v>
      </c>
      <c r="K17" s="91">
        <v>42000</v>
      </c>
    </row>
    <row r="18" spans="1:11" ht="25.5" x14ac:dyDescent="0.2">
      <c r="A18" s="181" t="s">
        <v>16</v>
      </c>
      <c r="B18" s="503" t="s">
        <v>2</v>
      </c>
      <c r="C18" s="503"/>
      <c r="D18" s="182" t="s">
        <v>8</v>
      </c>
      <c r="E18" s="503" t="s">
        <v>3</v>
      </c>
      <c r="F18" s="183" t="s">
        <v>4</v>
      </c>
      <c r="G18" s="503" t="s">
        <v>0</v>
      </c>
      <c r="H18" s="184" t="s">
        <v>5</v>
      </c>
      <c r="J18" s="91" t="s">
        <v>126</v>
      </c>
      <c r="K18" s="91">
        <v>55120</v>
      </c>
    </row>
    <row r="19" spans="1:11" ht="60.75" customHeight="1" x14ac:dyDescent="0.2">
      <c r="A19" s="185"/>
      <c r="B19" s="825" t="s">
        <v>125</v>
      </c>
      <c r="C19" s="825"/>
      <c r="D19" s="521">
        <f>Т.с.!H258</f>
        <v>4136434.8699999996</v>
      </c>
      <c r="E19" s="186"/>
      <c r="F19" s="187"/>
      <c r="G19" s="55" t="str">
        <f>CONCATENATE(D19,"*",0.4)</f>
        <v>4136434,87*0,4</v>
      </c>
      <c r="H19" s="188">
        <f>ROUND(D19*0.4,2)</f>
        <v>1654573.95</v>
      </c>
    </row>
    <row r="20" spans="1:11" ht="69" customHeight="1" x14ac:dyDescent="0.2">
      <c r="A20" s="189"/>
      <c r="B20" s="826" t="s">
        <v>320</v>
      </c>
      <c r="C20" s="826"/>
      <c r="D20" s="522">
        <f>K16</f>
        <v>34000</v>
      </c>
      <c r="E20" s="296" t="s">
        <v>321</v>
      </c>
      <c r="F20" s="523">
        <v>1</v>
      </c>
      <c r="G20" s="192" t="str">
        <f>CONCATENATE(D20,"*",F20)</f>
        <v>34000*1</v>
      </c>
      <c r="H20" s="193">
        <f>ROUND(D20*F20,2)</f>
        <v>34000</v>
      </c>
      <c r="I20" s="529"/>
    </row>
    <row r="21" spans="1:11" ht="33.75" customHeight="1" x14ac:dyDescent="0.2">
      <c r="A21" s="189"/>
      <c r="B21" s="826" t="s">
        <v>40</v>
      </c>
      <c r="C21" s="826"/>
      <c r="D21" s="524"/>
      <c r="E21" s="190"/>
      <c r="F21" s="191"/>
      <c r="G21" s="192"/>
      <c r="H21" s="193">
        <f>H20</f>
        <v>34000</v>
      </c>
    </row>
    <row r="22" spans="1:11" x14ac:dyDescent="0.2">
      <c r="A22" s="533"/>
      <c r="B22" s="533"/>
      <c r="C22" s="533"/>
      <c r="D22" s="533"/>
      <c r="E22" s="533"/>
      <c r="F22" s="533"/>
      <c r="G22" s="533"/>
      <c r="H22" s="533"/>
    </row>
    <row r="23" spans="1:11" ht="115.5" hidden="1" thickBot="1" x14ac:dyDescent="0.25">
      <c r="A23" s="93"/>
      <c r="B23" s="819" t="s">
        <v>74</v>
      </c>
      <c r="C23" s="820"/>
      <c r="D23" s="821"/>
      <c r="E23" s="94" t="s">
        <v>132</v>
      </c>
      <c r="F23" s="552">
        <v>3.351</v>
      </c>
      <c r="G23" s="95" t="s">
        <v>77</v>
      </c>
      <c r="H23" s="96">
        <v>96508.800000000003</v>
      </c>
      <c r="J23" s="91" t="s">
        <v>127</v>
      </c>
      <c r="K23" s="91" t="s">
        <v>127</v>
      </c>
    </row>
    <row r="24" spans="1:11" ht="115.5" hidden="1" thickBot="1" x14ac:dyDescent="0.25">
      <c r="A24" s="97"/>
      <c r="B24" s="98" t="s">
        <v>63</v>
      </c>
      <c r="C24" s="99"/>
      <c r="D24" s="99"/>
      <c r="E24" s="99"/>
      <c r="F24" s="99"/>
      <c r="G24" s="99"/>
      <c r="H24" s="100">
        <v>96508.800000000003</v>
      </c>
      <c r="J24" s="91" t="s">
        <v>128</v>
      </c>
      <c r="K24" s="91" t="s">
        <v>128</v>
      </c>
    </row>
    <row r="25" spans="1:11" s="57" customFormat="1" ht="115.5" hidden="1" thickBot="1" x14ac:dyDescent="0.25">
      <c r="A25" s="101"/>
      <c r="B25" s="822" t="s">
        <v>64</v>
      </c>
      <c r="C25" s="823"/>
      <c r="D25" s="824"/>
      <c r="E25" s="102" t="s">
        <v>133</v>
      </c>
      <c r="F25" s="103">
        <v>1</v>
      </c>
      <c r="G25" s="104" t="s">
        <v>78</v>
      </c>
      <c r="H25" s="105">
        <v>96508.800000000003</v>
      </c>
      <c r="I25" s="106"/>
      <c r="J25" s="91" t="s">
        <v>129</v>
      </c>
      <c r="K25" s="91" t="s">
        <v>129</v>
      </c>
    </row>
    <row r="26" spans="1:11" ht="115.5" hidden="1" thickBot="1" x14ac:dyDescent="0.25">
      <c r="A26" s="553"/>
      <c r="B26" s="107" t="s">
        <v>1</v>
      </c>
      <c r="C26" s="108"/>
      <c r="D26" s="108"/>
      <c r="E26" s="109"/>
      <c r="F26" s="110">
        <v>0.18</v>
      </c>
      <c r="G26" s="104" t="s">
        <v>79</v>
      </c>
      <c r="H26" s="105">
        <v>17371.580000000002</v>
      </c>
      <c r="I26" s="111"/>
      <c r="J26" s="91" t="s">
        <v>130</v>
      </c>
      <c r="K26" s="91" t="s">
        <v>130</v>
      </c>
    </row>
    <row r="27" spans="1:11" ht="115.5" hidden="1" thickBot="1" x14ac:dyDescent="0.25">
      <c r="A27" s="554"/>
      <c r="B27" s="107" t="s">
        <v>18</v>
      </c>
      <c r="C27" s="108"/>
      <c r="D27" s="108"/>
      <c r="E27" s="108"/>
      <c r="F27" s="108"/>
      <c r="G27" s="112"/>
      <c r="H27" s="96">
        <v>113880.38</v>
      </c>
      <c r="I27" s="111"/>
      <c r="J27" s="91" t="s">
        <v>131</v>
      </c>
      <c r="K27" s="91" t="s">
        <v>131</v>
      </c>
    </row>
    <row r="28" spans="1:11" s="5" customFormat="1" x14ac:dyDescent="0.2">
      <c r="A28" s="264"/>
      <c r="B28" s="264"/>
      <c r="C28" s="264"/>
      <c r="D28" s="265"/>
      <c r="E28" s="264"/>
      <c r="F28" s="266"/>
      <c r="G28" s="264"/>
      <c r="H28" s="267"/>
    </row>
    <row r="29" spans="1:11" s="5" customFormat="1" x14ac:dyDescent="0.2">
      <c r="A29" s="264"/>
      <c r="B29" s="264"/>
      <c r="C29" s="264"/>
      <c r="D29" s="265"/>
      <c r="E29" s="264"/>
      <c r="F29" s="266"/>
      <c r="G29" s="264"/>
      <c r="H29" s="267"/>
      <c r="J29" s="113"/>
    </row>
    <row r="30" spans="1:11" s="5" customFormat="1" x14ac:dyDescent="0.2">
      <c r="A30" s="264"/>
      <c r="B30" s="264"/>
      <c r="C30" s="264"/>
      <c r="D30" s="265"/>
      <c r="E30" s="264"/>
      <c r="F30" s="266"/>
      <c r="G30" s="264"/>
      <c r="H30" s="267"/>
      <c r="J30" s="113"/>
    </row>
    <row r="31" spans="1:11" s="5" customFormat="1" x14ac:dyDescent="0.2">
      <c r="A31" s="264"/>
      <c r="B31" s="264">
        <f>Т.с.!B285</f>
        <v>0</v>
      </c>
      <c r="C31" s="264"/>
      <c r="D31" s="265"/>
      <c r="E31" s="264"/>
      <c r="F31" s="266"/>
      <c r="G31" s="264"/>
      <c r="H31" s="267"/>
      <c r="J31" s="113"/>
    </row>
    <row r="32" spans="1:11" s="5" customFormat="1" x14ac:dyDescent="0.2">
      <c r="A32" s="264"/>
      <c r="B32" s="264"/>
      <c r="C32" s="264"/>
      <c r="D32" s="265"/>
      <c r="E32" s="264"/>
      <c r="F32" s="266"/>
      <c r="G32" s="264"/>
      <c r="H32" s="267"/>
      <c r="J32" s="113"/>
    </row>
    <row r="33" spans="1:10" s="5" customFormat="1" x14ac:dyDescent="0.2">
      <c r="A33" s="264"/>
      <c r="B33" s="264"/>
      <c r="C33" s="264"/>
      <c r="D33" s="265"/>
      <c r="E33" s="264"/>
      <c r="F33" s="266"/>
      <c r="G33" s="264"/>
      <c r="H33" s="267"/>
      <c r="J33" s="113"/>
    </row>
    <row r="34" spans="1:10" s="5" customFormat="1" x14ac:dyDescent="0.2">
      <c r="A34" s="264"/>
      <c r="B34" s="264"/>
      <c r="C34" s="264"/>
      <c r="D34" s="265"/>
      <c r="E34" s="264"/>
      <c r="F34" s="266"/>
      <c r="G34" s="264"/>
      <c r="H34" s="267"/>
      <c r="J34" s="113"/>
    </row>
    <row r="35" spans="1:10" s="259" customFormat="1" x14ac:dyDescent="0.2">
      <c r="B35" s="259">
        <f>Т.с.!B288</f>
        <v>0</v>
      </c>
      <c r="D35" s="269"/>
      <c r="F35" s="115"/>
      <c r="G35" s="269"/>
      <c r="H35" s="269"/>
      <c r="I35" s="476"/>
      <c r="J35" s="113"/>
    </row>
    <row r="36" spans="1:10" x14ac:dyDescent="0.2">
      <c r="B36" s="114"/>
      <c r="C36" s="114"/>
      <c r="G36" s="269"/>
      <c r="I36" s="111"/>
      <c r="J36" s="113"/>
    </row>
    <row r="37" spans="1:10" x14ac:dyDescent="0.2">
      <c r="J37" s="113"/>
    </row>
  </sheetData>
  <mergeCells count="13">
    <mergeCell ref="B23:D23"/>
    <mergeCell ref="B25:D25"/>
    <mergeCell ref="A15:H15"/>
    <mergeCell ref="A16:H16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="90" zoomScaleNormal="100" zoomScaleSheetLayoutView="90" workbookViewId="0">
      <selection activeCell="A7" sqref="A7:H7"/>
    </sheetView>
  </sheetViews>
  <sheetFormatPr defaultRowHeight="15" x14ac:dyDescent="0.2"/>
  <cols>
    <col min="1" max="1" width="3.85546875" style="428" customWidth="1"/>
    <col min="2" max="2" width="28.5703125" style="428" customWidth="1"/>
    <col min="3" max="3" width="11.28515625" style="428" customWidth="1"/>
    <col min="4" max="4" width="12" style="430" customWidth="1"/>
    <col min="5" max="5" width="28.28515625" style="428" customWidth="1"/>
    <col min="6" max="6" width="7.28515625" style="431" customWidth="1"/>
    <col min="7" max="7" width="18.42578125" style="428" customWidth="1"/>
    <col min="8" max="8" width="16.85546875" style="441" customWidth="1"/>
    <col min="9" max="9" width="15" style="434" customWidth="1"/>
    <col min="10" max="10" width="47.42578125" style="428" customWidth="1"/>
    <col min="11" max="256" width="9.140625" style="428"/>
    <col min="257" max="257" width="3.85546875" style="428" customWidth="1"/>
    <col min="258" max="258" width="28.5703125" style="428" customWidth="1"/>
    <col min="259" max="259" width="11.28515625" style="428" customWidth="1"/>
    <col min="260" max="260" width="13.140625" style="428" customWidth="1"/>
    <col min="261" max="261" width="28.28515625" style="428" customWidth="1"/>
    <col min="262" max="262" width="7.28515625" style="428" customWidth="1"/>
    <col min="263" max="263" width="22.7109375" style="428" customWidth="1"/>
    <col min="264" max="264" width="16.85546875" style="428" customWidth="1"/>
    <col min="265" max="265" width="15" style="428" customWidth="1"/>
    <col min="266" max="266" width="47.42578125" style="428" customWidth="1"/>
    <col min="267" max="512" width="9.140625" style="428"/>
    <col min="513" max="513" width="3.85546875" style="428" customWidth="1"/>
    <col min="514" max="514" width="28.5703125" style="428" customWidth="1"/>
    <col min="515" max="515" width="11.28515625" style="428" customWidth="1"/>
    <col min="516" max="516" width="13.140625" style="428" customWidth="1"/>
    <col min="517" max="517" width="28.28515625" style="428" customWidth="1"/>
    <col min="518" max="518" width="7.28515625" style="428" customWidth="1"/>
    <col min="519" max="519" width="22.7109375" style="428" customWidth="1"/>
    <col min="520" max="520" width="16.85546875" style="428" customWidth="1"/>
    <col min="521" max="521" width="15" style="428" customWidth="1"/>
    <col min="522" max="522" width="47.42578125" style="428" customWidth="1"/>
    <col min="523" max="768" width="9.140625" style="428"/>
    <col min="769" max="769" width="3.85546875" style="428" customWidth="1"/>
    <col min="770" max="770" width="28.5703125" style="428" customWidth="1"/>
    <col min="771" max="771" width="11.28515625" style="428" customWidth="1"/>
    <col min="772" max="772" width="13.140625" style="428" customWidth="1"/>
    <col min="773" max="773" width="28.28515625" style="428" customWidth="1"/>
    <col min="774" max="774" width="7.28515625" style="428" customWidth="1"/>
    <col min="775" max="775" width="22.7109375" style="428" customWidth="1"/>
    <col min="776" max="776" width="16.85546875" style="428" customWidth="1"/>
    <col min="777" max="777" width="15" style="428" customWidth="1"/>
    <col min="778" max="778" width="47.42578125" style="428" customWidth="1"/>
    <col min="779" max="1024" width="9.140625" style="428"/>
    <col min="1025" max="1025" width="3.85546875" style="428" customWidth="1"/>
    <col min="1026" max="1026" width="28.5703125" style="428" customWidth="1"/>
    <col min="1027" max="1027" width="11.28515625" style="428" customWidth="1"/>
    <col min="1028" max="1028" width="13.140625" style="428" customWidth="1"/>
    <col min="1029" max="1029" width="28.28515625" style="428" customWidth="1"/>
    <col min="1030" max="1030" width="7.28515625" style="428" customWidth="1"/>
    <col min="1031" max="1031" width="22.7109375" style="428" customWidth="1"/>
    <col min="1032" max="1032" width="16.85546875" style="428" customWidth="1"/>
    <col min="1033" max="1033" width="15" style="428" customWidth="1"/>
    <col min="1034" max="1034" width="47.42578125" style="428" customWidth="1"/>
    <col min="1035" max="1280" width="9.140625" style="428"/>
    <col min="1281" max="1281" width="3.85546875" style="428" customWidth="1"/>
    <col min="1282" max="1282" width="28.5703125" style="428" customWidth="1"/>
    <col min="1283" max="1283" width="11.28515625" style="428" customWidth="1"/>
    <col min="1284" max="1284" width="13.140625" style="428" customWidth="1"/>
    <col min="1285" max="1285" width="28.28515625" style="428" customWidth="1"/>
    <col min="1286" max="1286" width="7.28515625" style="428" customWidth="1"/>
    <col min="1287" max="1287" width="22.7109375" style="428" customWidth="1"/>
    <col min="1288" max="1288" width="16.85546875" style="428" customWidth="1"/>
    <col min="1289" max="1289" width="15" style="428" customWidth="1"/>
    <col min="1290" max="1290" width="47.42578125" style="428" customWidth="1"/>
    <col min="1291" max="1536" width="9.140625" style="428"/>
    <col min="1537" max="1537" width="3.85546875" style="428" customWidth="1"/>
    <col min="1538" max="1538" width="28.5703125" style="428" customWidth="1"/>
    <col min="1539" max="1539" width="11.28515625" style="428" customWidth="1"/>
    <col min="1540" max="1540" width="13.140625" style="428" customWidth="1"/>
    <col min="1541" max="1541" width="28.28515625" style="428" customWidth="1"/>
    <col min="1542" max="1542" width="7.28515625" style="428" customWidth="1"/>
    <col min="1543" max="1543" width="22.7109375" style="428" customWidth="1"/>
    <col min="1544" max="1544" width="16.85546875" style="428" customWidth="1"/>
    <col min="1545" max="1545" width="15" style="428" customWidth="1"/>
    <col min="1546" max="1546" width="47.42578125" style="428" customWidth="1"/>
    <col min="1547" max="1792" width="9.140625" style="428"/>
    <col min="1793" max="1793" width="3.85546875" style="428" customWidth="1"/>
    <col min="1794" max="1794" width="28.5703125" style="428" customWidth="1"/>
    <col min="1795" max="1795" width="11.28515625" style="428" customWidth="1"/>
    <col min="1796" max="1796" width="13.140625" style="428" customWidth="1"/>
    <col min="1797" max="1797" width="28.28515625" style="428" customWidth="1"/>
    <col min="1798" max="1798" width="7.28515625" style="428" customWidth="1"/>
    <col min="1799" max="1799" width="22.7109375" style="428" customWidth="1"/>
    <col min="1800" max="1800" width="16.85546875" style="428" customWidth="1"/>
    <col min="1801" max="1801" width="15" style="428" customWidth="1"/>
    <col min="1802" max="1802" width="47.42578125" style="428" customWidth="1"/>
    <col min="1803" max="2048" width="9.140625" style="428"/>
    <col min="2049" max="2049" width="3.85546875" style="428" customWidth="1"/>
    <col min="2050" max="2050" width="28.5703125" style="428" customWidth="1"/>
    <col min="2051" max="2051" width="11.28515625" style="428" customWidth="1"/>
    <col min="2052" max="2052" width="13.140625" style="428" customWidth="1"/>
    <col min="2053" max="2053" width="28.28515625" style="428" customWidth="1"/>
    <col min="2054" max="2054" width="7.28515625" style="428" customWidth="1"/>
    <col min="2055" max="2055" width="22.7109375" style="428" customWidth="1"/>
    <col min="2056" max="2056" width="16.85546875" style="428" customWidth="1"/>
    <col min="2057" max="2057" width="15" style="428" customWidth="1"/>
    <col min="2058" max="2058" width="47.42578125" style="428" customWidth="1"/>
    <col min="2059" max="2304" width="9.140625" style="428"/>
    <col min="2305" max="2305" width="3.85546875" style="428" customWidth="1"/>
    <col min="2306" max="2306" width="28.5703125" style="428" customWidth="1"/>
    <col min="2307" max="2307" width="11.28515625" style="428" customWidth="1"/>
    <col min="2308" max="2308" width="13.140625" style="428" customWidth="1"/>
    <col min="2309" max="2309" width="28.28515625" style="428" customWidth="1"/>
    <col min="2310" max="2310" width="7.28515625" style="428" customWidth="1"/>
    <col min="2311" max="2311" width="22.7109375" style="428" customWidth="1"/>
    <col min="2312" max="2312" width="16.85546875" style="428" customWidth="1"/>
    <col min="2313" max="2313" width="15" style="428" customWidth="1"/>
    <col min="2314" max="2314" width="47.42578125" style="428" customWidth="1"/>
    <col min="2315" max="2560" width="9.140625" style="428"/>
    <col min="2561" max="2561" width="3.85546875" style="428" customWidth="1"/>
    <col min="2562" max="2562" width="28.5703125" style="428" customWidth="1"/>
    <col min="2563" max="2563" width="11.28515625" style="428" customWidth="1"/>
    <col min="2564" max="2564" width="13.140625" style="428" customWidth="1"/>
    <col min="2565" max="2565" width="28.28515625" style="428" customWidth="1"/>
    <col min="2566" max="2566" width="7.28515625" style="428" customWidth="1"/>
    <col min="2567" max="2567" width="22.7109375" style="428" customWidth="1"/>
    <col min="2568" max="2568" width="16.85546875" style="428" customWidth="1"/>
    <col min="2569" max="2569" width="15" style="428" customWidth="1"/>
    <col min="2570" max="2570" width="47.42578125" style="428" customWidth="1"/>
    <col min="2571" max="2816" width="9.140625" style="428"/>
    <col min="2817" max="2817" width="3.85546875" style="428" customWidth="1"/>
    <col min="2818" max="2818" width="28.5703125" style="428" customWidth="1"/>
    <col min="2819" max="2819" width="11.28515625" style="428" customWidth="1"/>
    <col min="2820" max="2820" width="13.140625" style="428" customWidth="1"/>
    <col min="2821" max="2821" width="28.28515625" style="428" customWidth="1"/>
    <col min="2822" max="2822" width="7.28515625" style="428" customWidth="1"/>
    <col min="2823" max="2823" width="22.7109375" style="428" customWidth="1"/>
    <col min="2824" max="2824" width="16.85546875" style="428" customWidth="1"/>
    <col min="2825" max="2825" width="15" style="428" customWidth="1"/>
    <col min="2826" max="2826" width="47.42578125" style="428" customWidth="1"/>
    <col min="2827" max="3072" width="9.140625" style="428"/>
    <col min="3073" max="3073" width="3.85546875" style="428" customWidth="1"/>
    <col min="3074" max="3074" width="28.5703125" style="428" customWidth="1"/>
    <col min="3075" max="3075" width="11.28515625" style="428" customWidth="1"/>
    <col min="3076" max="3076" width="13.140625" style="428" customWidth="1"/>
    <col min="3077" max="3077" width="28.28515625" style="428" customWidth="1"/>
    <col min="3078" max="3078" width="7.28515625" style="428" customWidth="1"/>
    <col min="3079" max="3079" width="22.7109375" style="428" customWidth="1"/>
    <col min="3080" max="3080" width="16.85546875" style="428" customWidth="1"/>
    <col min="3081" max="3081" width="15" style="428" customWidth="1"/>
    <col min="3082" max="3082" width="47.42578125" style="428" customWidth="1"/>
    <col min="3083" max="3328" width="9.140625" style="428"/>
    <col min="3329" max="3329" width="3.85546875" style="428" customWidth="1"/>
    <col min="3330" max="3330" width="28.5703125" style="428" customWidth="1"/>
    <col min="3331" max="3331" width="11.28515625" style="428" customWidth="1"/>
    <col min="3332" max="3332" width="13.140625" style="428" customWidth="1"/>
    <col min="3333" max="3333" width="28.28515625" style="428" customWidth="1"/>
    <col min="3334" max="3334" width="7.28515625" style="428" customWidth="1"/>
    <col min="3335" max="3335" width="22.7109375" style="428" customWidth="1"/>
    <col min="3336" max="3336" width="16.85546875" style="428" customWidth="1"/>
    <col min="3337" max="3337" width="15" style="428" customWidth="1"/>
    <col min="3338" max="3338" width="47.42578125" style="428" customWidth="1"/>
    <col min="3339" max="3584" width="9.140625" style="428"/>
    <col min="3585" max="3585" width="3.85546875" style="428" customWidth="1"/>
    <col min="3586" max="3586" width="28.5703125" style="428" customWidth="1"/>
    <col min="3587" max="3587" width="11.28515625" style="428" customWidth="1"/>
    <col min="3588" max="3588" width="13.140625" style="428" customWidth="1"/>
    <col min="3589" max="3589" width="28.28515625" style="428" customWidth="1"/>
    <col min="3590" max="3590" width="7.28515625" style="428" customWidth="1"/>
    <col min="3591" max="3591" width="22.7109375" style="428" customWidth="1"/>
    <col min="3592" max="3592" width="16.85546875" style="428" customWidth="1"/>
    <col min="3593" max="3593" width="15" style="428" customWidth="1"/>
    <col min="3594" max="3594" width="47.42578125" style="428" customWidth="1"/>
    <col min="3595" max="3840" width="9.140625" style="428"/>
    <col min="3841" max="3841" width="3.85546875" style="428" customWidth="1"/>
    <col min="3842" max="3842" width="28.5703125" style="428" customWidth="1"/>
    <col min="3843" max="3843" width="11.28515625" style="428" customWidth="1"/>
    <col min="3844" max="3844" width="13.140625" style="428" customWidth="1"/>
    <col min="3845" max="3845" width="28.28515625" style="428" customWidth="1"/>
    <col min="3846" max="3846" width="7.28515625" style="428" customWidth="1"/>
    <col min="3847" max="3847" width="22.7109375" style="428" customWidth="1"/>
    <col min="3848" max="3848" width="16.85546875" style="428" customWidth="1"/>
    <col min="3849" max="3849" width="15" style="428" customWidth="1"/>
    <col min="3850" max="3850" width="47.42578125" style="428" customWidth="1"/>
    <col min="3851" max="4096" width="9.140625" style="428"/>
    <col min="4097" max="4097" width="3.85546875" style="428" customWidth="1"/>
    <col min="4098" max="4098" width="28.5703125" style="428" customWidth="1"/>
    <col min="4099" max="4099" width="11.28515625" style="428" customWidth="1"/>
    <col min="4100" max="4100" width="13.140625" style="428" customWidth="1"/>
    <col min="4101" max="4101" width="28.28515625" style="428" customWidth="1"/>
    <col min="4102" max="4102" width="7.28515625" style="428" customWidth="1"/>
    <col min="4103" max="4103" width="22.7109375" style="428" customWidth="1"/>
    <col min="4104" max="4104" width="16.85546875" style="428" customWidth="1"/>
    <col min="4105" max="4105" width="15" style="428" customWidth="1"/>
    <col min="4106" max="4106" width="47.42578125" style="428" customWidth="1"/>
    <col min="4107" max="4352" width="9.140625" style="428"/>
    <col min="4353" max="4353" width="3.85546875" style="428" customWidth="1"/>
    <col min="4354" max="4354" width="28.5703125" style="428" customWidth="1"/>
    <col min="4355" max="4355" width="11.28515625" style="428" customWidth="1"/>
    <col min="4356" max="4356" width="13.140625" style="428" customWidth="1"/>
    <col min="4357" max="4357" width="28.28515625" style="428" customWidth="1"/>
    <col min="4358" max="4358" width="7.28515625" style="428" customWidth="1"/>
    <col min="4359" max="4359" width="22.7109375" style="428" customWidth="1"/>
    <col min="4360" max="4360" width="16.85546875" style="428" customWidth="1"/>
    <col min="4361" max="4361" width="15" style="428" customWidth="1"/>
    <col min="4362" max="4362" width="47.42578125" style="428" customWidth="1"/>
    <col min="4363" max="4608" width="9.140625" style="428"/>
    <col min="4609" max="4609" width="3.85546875" style="428" customWidth="1"/>
    <col min="4610" max="4610" width="28.5703125" style="428" customWidth="1"/>
    <col min="4611" max="4611" width="11.28515625" style="428" customWidth="1"/>
    <col min="4612" max="4612" width="13.140625" style="428" customWidth="1"/>
    <col min="4613" max="4613" width="28.28515625" style="428" customWidth="1"/>
    <col min="4614" max="4614" width="7.28515625" style="428" customWidth="1"/>
    <col min="4615" max="4615" width="22.7109375" style="428" customWidth="1"/>
    <col min="4616" max="4616" width="16.85546875" style="428" customWidth="1"/>
    <col min="4617" max="4617" width="15" style="428" customWidth="1"/>
    <col min="4618" max="4618" width="47.42578125" style="428" customWidth="1"/>
    <col min="4619" max="4864" width="9.140625" style="428"/>
    <col min="4865" max="4865" width="3.85546875" style="428" customWidth="1"/>
    <col min="4866" max="4866" width="28.5703125" style="428" customWidth="1"/>
    <col min="4867" max="4867" width="11.28515625" style="428" customWidth="1"/>
    <col min="4868" max="4868" width="13.140625" style="428" customWidth="1"/>
    <col min="4869" max="4869" width="28.28515625" style="428" customWidth="1"/>
    <col min="4870" max="4870" width="7.28515625" style="428" customWidth="1"/>
    <col min="4871" max="4871" width="22.7109375" style="428" customWidth="1"/>
    <col min="4872" max="4872" width="16.85546875" style="428" customWidth="1"/>
    <col min="4873" max="4873" width="15" style="428" customWidth="1"/>
    <col min="4874" max="4874" width="47.42578125" style="428" customWidth="1"/>
    <col min="4875" max="5120" width="9.140625" style="428"/>
    <col min="5121" max="5121" width="3.85546875" style="428" customWidth="1"/>
    <col min="5122" max="5122" width="28.5703125" style="428" customWidth="1"/>
    <col min="5123" max="5123" width="11.28515625" style="428" customWidth="1"/>
    <col min="5124" max="5124" width="13.140625" style="428" customWidth="1"/>
    <col min="5125" max="5125" width="28.28515625" style="428" customWidth="1"/>
    <col min="5126" max="5126" width="7.28515625" style="428" customWidth="1"/>
    <col min="5127" max="5127" width="22.7109375" style="428" customWidth="1"/>
    <col min="5128" max="5128" width="16.85546875" style="428" customWidth="1"/>
    <col min="5129" max="5129" width="15" style="428" customWidth="1"/>
    <col min="5130" max="5130" width="47.42578125" style="428" customWidth="1"/>
    <col min="5131" max="5376" width="9.140625" style="428"/>
    <col min="5377" max="5377" width="3.85546875" style="428" customWidth="1"/>
    <col min="5378" max="5378" width="28.5703125" style="428" customWidth="1"/>
    <col min="5379" max="5379" width="11.28515625" style="428" customWidth="1"/>
    <col min="5380" max="5380" width="13.140625" style="428" customWidth="1"/>
    <col min="5381" max="5381" width="28.28515625" style="428" customWidth="1"/>
    <col min="5382" max="5382" width="7.28515625" style="428" customWidth="1"/>
    <col min="5383" max="5383" width="22.7109375" style="428" customWidth="1"/>
    <col min="5384" max="5384" width="16.85546875" style="428" customWidth="1"/>
    <col min="5385" max="5385" width="15" style="428" customWidth="1"/>
    <col min="5386" max="5386" width="47.42578125" style="428" customWidth="1"/>
    <col min="5387" max="5632" width="9.140625" style="428"/>
    <col min="5633" max="5633" width="3.85546875" style="428" customWidth="1"/>
    <col min="5634" max="5634" width="28.5703125" style="428" customWidth="1"/>
    <col min="5635" max="5635" width="11.28515625" style="428" customWidth="1"/>
    <col min="5636" max="5636" width="13.140625" style="428" customWidth="1"/>
    <col min="5637" max="5637" width="28.28515625" style="428" customWidth="1"/>
    <col min="5638" max="5638" width="7.28515625" style="428" customWidth="1"/>
    <col min="5639" max="5639" width="22.7109375" style="428" customWidth="1"/>
    <col min="5640" max="5640" width="16.85546875" style="428" customWidth="1"/>
    <col min="5641" max="5641" width="15" style="428" customWidth="1"/>
    <col min="5642" max="5642" width="47.42578125" style="428" customWidth="1"/>
    <col min="5643" max="5888" width="9.140625" style="428"/>
    <col min="5889" max="5889" width="3.85546875" style="428" customWidth="1"/>
    <col min="5890" max="5890" width="28.5703125" style="428" customWidth="1"/>
    <col min="5891" max="5891" width="11.28515625" style="428" customWidth="1"/>
    <col min="5892" max="5892" width="13.140625" style="428" customWidth="1"/>
    <col min="5893" max="5893" width="28.28515625" style="428" customWidth="1"/>
    <col min="5894" max="5894" width="7.28515625" style="428" customWidth="1"/>
    <col min="5895" max="5895" width="22.7109375" style="428" customWidth="1"/>
    <col min="5896" max="5896" width="16.85546875" style="428" customWidth="1"/>
    <col min="5897" max="5897" width="15" style="428" customWidth="1"/>
    <col min="5898" max="5898" width="47.42578125" style="428" customWidth="1"/>
    <col min="5899" max="6144" width="9.140625" style="428"/>
    <col min="6145" max="6145" width="3.85546875" style="428" customWidth="1"/>
    <col min="6146" max="6146" width="28.5703125" style="428" customWidth="1"/>
    <col min="6147" max="6147" width="11.28515625" style="428" customWidth="1"/>
    <col min="6148" max="6148" width="13.140625" style="428" customWidth="1"/>
    <col min="6149" max="6149" width="28.28515625" style="428" customWidth="1"/>
    <col min="6150" max="6150" width="7.28515625" style="428" customWidth="1"/>
    <col min="6151" max="6151" width="22.7109375" style="428" customWidth="1"/>
    <col min="6152" max="6152" width="16.85546875" style="428" customWidth="1"/>
    <col min="6153" max="6153" width="15" style="428" customWidth="1"/>
    <col min="6154" max="6154" width="47.42578125" style="428" customWidth="1"/>
    <col min="6155" max="6400" width="9.140625" style="428"/>
    <col min="6401" max="6401" width="3.85546875" style="428" customWidth="1"/>
    <col min="6402" max="6402" width="28.5703125" style="428" customWidth="1"/>
    <col min="6403" max="6403" width="11.28515625" style="428" customWidth="1"/>
    <col min="6404" max="6404" width="13.140625" style="428" customWidth="1"/>
    <col min="6405" max="6405" width="28.28515625" style="428" customWidth="1"/>
    <col min="6406" max="6406" width="7.28515625" style="428" customWidth="1"/>
    <col min="6407" max="6407" width="22.7109375" style="428" customWidth="1"/>
    <col min="6408" max="6408" width="16.85546875" style="428" customWidth="1"/>
    <col min="6409" max="6409" width="15" style="428" customWidth="1"/>
    <col min="6410" max="6410" width="47.42578125" style="428" customWidth="1"/>
    <col min="6411" max="6656" width="9.140625" style="428"/>
    <col min="6657" max="6657" width="3.85546875" style="428" customWidth="1"/>
    <col min="6658" max="6658" width="28.5703125" style="428" customWidth="1"/>
    <col min="6659" max="6659" width="11.28515625" style="428" customWidth="1"/>
    <col min="6660" max="6660" width="13.140625" style="428" customWidth="1"/>
    <col min="6661" max="6661" width="28.28515625" style="428" customWidth="1"/>
    <col min="6662" max="6662" width="7.28515625" style="428" customWidth="1"/>
    <col min="6663" max="6663" width="22.7109375" style="428" customWidth="1"/>
    <col min="6664" max="6664" width="16.85546875" style="428" customWidth="1"/>
    <col min="6665" max="6665" width="15" style="428" customWidth="1"/>
    <col min="6666" max="6666" width="47.42578125" style="428" customWidth="1"/>
    <col min="6667" max="6912" width="9.140625" style="428"/>
    <col min="6913" max="6913" width="3.85546875" style="428" customWidth="1"/>
    <col min="6914" max="6914" width="28.5703125" style="428" customWidth="1"/>
    <col min="6915" max="6915" width="11.28515625" style="428" customWidth="1"/>
    <col min="6916" max="6916" width="13.140625" style="428" customWidth="1"/>
    <col min="6917" max="6917" width="28.28515625" style="428" customWidth="1"/>
    <col min="6918" max="6918" width="7.28515625" style="428" customWidth="1"/>
    <col min="6919" max="6919" width="22.7109375" style="428" customWidth="1"/>
    <col min="6920" max="6920" width="16.85546875" style="428" customWidth="1"/>
    <col min="6921" max="6921" width="15" style="428" customWidth="1"/>
    <col min="6922" max="6922" width="47.42578125" style="428" customWidth="1"/>
    <col min="6923" max="7168" width="9.140625" style="428"/>
    <col min="7169" max="7169" width="3.85546875" style="428" customWidth="1"/>
    <col min="7170" max="7170" width="28.5703125" style="428" customWidth="1"/>
    <col min="7171" max="7171" width="11.28515625" style="428" customWidth="1"/>
    <col min="7172" max="7172" width="13.140625" style="428" customWidth="1"/>
    <col min="7173" max="7173" width="28.28515625" style="428" customWidth="1"/>
    <col min="7174" max="7174" width="7.28515625" style="428" customWidth="1"/>
    <col min="7175" max="7175" width="22.7109375" style="428" customWidth="1"/>
    <col min="7176" max="7176" width="16.85546875" style="428" customWidth="1"/>
    <col min="7177" max="7177" width="15" style="428" customWidth="1"/>
    <col min="7178" max="7178" width="47.42578125" style="428" customWidth="1"/>
    <col min="7179" max="7424" width="9.140625" style="428"/>
    <col min="7425" max="7425" width="3.85546875" style="428" customWidth="1"/>
    <col min="7426" max="7426" width="28.5703125" style="428" customWidth="1"/>
    <col min="7427" max="7427" width="11.28515625" style="428" customWidth="1"/>
    <col min="7428" max="7428" width="13.140625" style="428" customWidth="1"/>
    <col min="7429" max="7429" width="28.28515625" style="428" customWidth="1"/>
    <col min="7430" max="7430" width="7.28515625" style="428" customWidth="1"/>
    <col min="7431" max="7431" width="22.7109375" style="428" customWidth="1"/>
    <col min="7432" max="7432" width="16.85546875" style="428" customWidth="1"/>
    <col min="7433" max="7433" width="15" style="428" customWidth="1"/>
    <col min="7434" max="7434" width="47.42578125" style="428" customWidth="1"/>
    <col min="7435" max="7680" width="9.140625" style="428"/>
    <col min="7681" max="7681" width="3.85546875" style="428" customWidth="1"/>
    <col min="7682" max="7682" width="28.5703125" style="428" customWidth="1"/>
    <col min="7683" max="7683" width="11.28515625" style="428" customWidth="1"/>
    <col min="7684" max="7684" width="13.140625" style="428" customWidth="1"/>
    <col min="7685" max="7685" width="28.28515625" style="428" customWidth="1"/>
    <col min="7686" max="7686" width="7.28515625" style="428" customWidth="1"/>
    <col min="7687" max="7687" width="22.7109375" style="428" customWidth="1"/>
    <col min="7688" max="7688" width="16.85546875" style="428" customWidth="1"/>
    <col min="7689" max="7689" width="15" style="428" customWidth="1"/>
    <col min="7690" max="7690" width="47.42578125" style="428" customWidth="1"/>
    <col min="7691" max="7936" width="9.140625" style="428"/>
    <col min="7937" max="7937" width="3.85546875" style="428" customWidth="1"/>
    <col min="7938" max="7938" width="28.5703125" style="428" customWidth="1"/>
    <col min="7939" max="7939" width="11.28515625" style="428" customWidth="1"/>
    <col min="7940" max="7940" width="13.140625" style="428" customWidth="1"/>
    <col min="7941" max="7941" width="28.28515625" style="428" customWidth="1"/>
    <col min="7942" max="7942" width="7.28515625" style="428" customWidth="1"/>
    <col min="7943" max="7943" width="22.7109375" style="428" customWidth="1"/>
    <col min="7944" max="7944" width="16.85546875" style="428" customWidth="1"/>
    <col min="7945" max="7945" width="15" style="428" customWidth="1"/>
    <col min="7946" max="7946" width="47.42578125" style="428" customWidth="1"/>
    <col min="7947" max="8192" width="9.140625" style="428"/>
    <col min="8193" max="8193" width="3.85546875" style="428" customWidth="1"/>
    <col min="8194" max="8194" width="28.5703125" style="428" customWidth="1"/>
    <col min="8195" max="8195" width="11.28515625" style="428" customWidth="1"/>
    <col min="8196" max="8196" width="13.140625" style="428" customWidth="1"/>
    <col min="8197" max="8197" width="28.28515625" style="428" customWidth="1"/>
    <col min="8198" max="8198" width="7.28515625" style="428" customWidth="1"/>
    <col min="8199" max="8199" width="22.7109375" style="428" customWidth="1"/>
    <col min="8200" max="8200" width="16.85546875" style="428" customWidth="1"/>
    <col min="8201" max="8201" width="15" style="428" customWidth="1"/>
    <col min="8202" max="8202" width="47.42578125" style="428" customWidth="1"/>
    <col min="8203" max="8448" width="9.140625" style="428"/>
    <col min="8449" max="8449" width="3.85546875" style="428" customWidth="1"/>
    <col min="8450" max="8450" width="28.5703125" style="428" customWidth="1"/>
    <col min="8451" max="8451" width="11.28515625" style="428" customWidth="1"/>
    <col min="8452" max="8452" width="13.140625" style="428" customWidth="1"/>
    <col min="8453" max="8453" width="28.28515625" style="428" customWidth="1"/>
    <col min="8454" max="8454" width="7.28515625" style="428" customWidth="1"/>
    <col min="8455" max="8455" width="22.7109375" style="428" customWidth="1"/>
    <col min="8456" max="8456" width="16.85546875" style="428" customWidth="1"/>
    <col min="8457" max="8457" width="15" style="428" customWidth="1"/>
    <col min="8458" max="8458" width="47.42578125" style="428" customWidth="1"/>
    <col min="8459" max="8704" width="9.140625" style="428"/>
    <col min="8705" max="8705" width="3.85546875" style="428" customWidth="1"/>
    <col min="8706" max="8706" width="28.5703125" style="428" customWidth="1"/>
    <col min="8707" max="8707" width="11.28515625" style="428" customWidth="1"/>
    <col min="8708" max="8708" width="13.140625" style="428" customWidth="1"/>
    <col min="8709" max="8709" width="28.28515625" style="428" customWidth="1"/>
    <col min="8710" max="8710" width="7.28515625" style="428" customWidth="1"/>
    <col min="8711" max="8711" width="22.7109375" style="428" customWidth="1"/>
    <col min="8712" max="8712" width="16.85546875" style="428" customWidth="1"/>
    <col min="8713" max="8713" width="15" style="428" customWidth="1"/>
    <col min="8714" max="8714" width="47.42578125" style="428" customWidth="1"/>
    <col min="8715" max="8960" width="9.140625" style="428"/>
    <col min="8961" max="8961" width="3.85546875" style="428" customWidth="1"/>
    <col min="8962" max="8962" width="28.5703125" style="428" customWidth="1"/>
    <col min="8963" max="8963" width="11.28515625" style="428" customWidth="1"/>
    <col min="8964" max="8964" width="13.140625" style="428" customWidth="1"/>
    <col min="8965" max="8965" width="28.28515625" style="428" customWidth="1"/>
    <col min="8966" max="8966" width="7.28515625" style="428" customWidth="1"/>
    <col min="8967" max="8967" width="22.7109375" style="428" customWidth="1"/>
    <col min="8968" max="8968" width="16.85546875" style="428" customWidth="1"/>
    <col min="8969" max="8969" width="15" style="428" customWidth="1"/>
    <col min="8970" max="8970" width="47.42578125" style="428" customWidth="1"/>
    <col min="8971" max="9216" width="9.140625" style="428"/>
    <col min="9217" max="9217" width="3.85546875" style="428" customWidth="1"/>
    <col min="9218" max="9218" width="28.5703125" style="428" customWidth="1"/>
    <col min="9219" max="9219" width="11.28515625" style="428" customWidth="1"/>
    <col min="9220" max="9220" width="13.140625" style="428" customWidth="1"/>
    <col min="9221" max="9221" width="28.28515625" style="428" customWidth="1"/>
    <col min="9222" max="9222" width="7.28515625" style="428" customWidth="1"/>
    <col min="9223" max="9223" width="22.7109375" style="428" customWidth="1"/>
    <col min="9224" max="9224" width="16.85546875" style="428" customWidth="1"/>
    <col min="9225" max="9225" width="15" style="428" customWidth="1"/>
    <col min="9226" max="9226" width="47.42578125" style="428" customWidth="1"/>
    <col min="9227" max="9472" width="9.140625" style="428"/>
    <col min="9473" max="9473" width="3.85546875" style="428" customWidth="1"/>
    <col min="9474" max="9474" width="28.5703125" style="428" customWidth="1"/>
    <col min="9475" max="9475" width="11.28515625" style="428" customWidth="1"/>
    <col min="9476" max="9476" width="13.140625" style="428" customWidth="1"/>
    <col min="9477" max="9477" width="28.28515625" style="428" customWidth="1"/>
    <col min="9478" max="9478" width="7.28515625" style="428" customWidth="1"/>
    <col min="9479" max="9479" width="22.7109375" style="428" customWidth="1"/>
    <col min="9480" max="9480" width="16.85546875" style="428" customWidth="1"/>
    <col min="9481" max="9481" width="15" style="428" customWidth="1"/>
    <col min="9482" max="9482" width="47.42578125" style="428" customWidth="1"/>
    <col min="9483" max="9728" width="9.140625" style="428"/>
    <col min="9729" max="9729" width="3.85546875" style="428" customWidth="1"/>
    <col min="9730" max="9730" width="28.5703125" style="428" customWidth="1"/>
    <col min="9731" max="9731" width="11.28515625" style="428" customWidth="1"/>
    <col min="9732" max="9732" width="13.140625" style="428" customWidth="1"/>
    <col min="9733" max="9733" width="28.28515625" style="428" customWidth="1"/>
    <col min="9734" max="9734" width="7.28515625" style="428" customWidth="1"/>
    <col min="9735" max="9735" width="22.7109375" style="428" customWidth="1"/>
    <col min="9736" max="9736" width="16.85546875" style="428" customWidth="1"/>
    <col min="9737" max="9737" width="15" style="428" customWidth="1"/>
    <col min="9738" max="9738" width="47.42578125" style="428" customWidth="1"/>
    <col min="9739" max="9984" width="9.140625" style="428"/>
    <col min="9985" max="9985" width="3.85546875" style="428" customWidth="1"/>
    <col min="9986" max="9986" width="28.5703125" style="428" customWidth="1"/>
    <col min="9987" max="9987" width="11.28515625" style="428" customWidth="1"/>
    <col min="9988" max="9988" width="13.140625" style="428" customWidth="1"/>
    <col min="9989" max="9989" width="28.28515625" style="428" customWidth="1"/>
    <col min="9990" max="9990" width="7.28515625" style="428" customWidth="1"/>
    <col min="9991" max="9991" width="22.7109375" style="428" customWidth="1"/>
    <col min="9992" max="9992" width="16.85546875" style="428" customWidth="1"/>
    <col min="9993" max="9993" width="15" style="428" customWidth="1"/>
    <col min="9994" max="9994" width="47.42578125" style="428" customWidth="1"/>
    <col min="9995" max="10240" width="9.140625" style="428"/>
    <col min="10241" max="10241" width="3.85546875" style="428" customWidth="1"/>
    <col min="10242" max="10242" width="28.5703125" style="428" customWidth="1"/>
    <col min="10243" max="10243" width="11.28515625" style="428" customWidth="1"/>
    <col min="10244" max="10244" width="13.140625" style="428" customWidth="1"/>
    <col min="10245" max="10245" width="28.28515625" style="428" customWidth="1"/>
    <col min="10246" max="10246" width="7.28515625" style="428" customWidth="1"/>
    <col min="10247" max="10247" width="22.7109375" style="428" customWidth="1"/>
    <col min="10248" max="10248" width="16.85546875" style="428" customWidth="1"/>
    <col min="10249" max="10249" width="15" style="428" customWidth="1"/>
    <col min="10250" max="10250" width="47.42578125" style="428" customWidth="1"/>
    <col min="10251" max="10496" width="9.140625" style="428"/>
    <col min="10497" max="10497" width="3.85546875" style="428" customWidth="1"/>
    <col min="10498" max="10498" width="28.5703125" style="428" customWidth="1"/>
    <col min="10499" max="10499" width="11.28515625" style="428" customWidth="1"/>
    <col min="10500" max="10500" width="13.140625" style="428" customWidth="1"/>
    <col min="10501" max="10501" width="28.28515625" style="428" customWidth="1"/>
    <col min="10502" max="10502" width="7.28515625" style="428" customWidth="1"/>
    <col min="10503" max="10503" width="22.7109375" style="428" customWidth="1"/>
    <col min="10504" max="10504" width="16.85546875" style="428" customWidth="1"/>
    <col min="10505" max="10505" width="15" style="428" customWidth="1"/>
    <col min="10506" max="10506" width="47.42578125" style="428" customWidth="1"/>
    <col min="10507" max="10752" width="9.140625" style="428"/>
    <col min="10753" max="10753" width="3.85546875" style="428" customWidth="1"/>
    <col min="10754" max="10754" width="28.5703125" style="428" customWidth="1"/>
    <col min="10755" max="10755" width="11.28515625" style="428" customWidth="1"/>
    <col min="10756" max="10756" width="13.140625" style="428" customWidth="1"/>
    <col min="10757" max="10757" width="28.28515625" style="428" customWidth="1"/>
    <col min="10758" max="10758" width="7.28515625" style="428" customWidth="1"/>
    <col min="10759" max="10759" width="22.7109375" style="428" customWidth="1"/>
    <col min="10760" max="10760" width="16.85546875" style="428" customWidth="1"/>
    <col min="10761" max="10761" width="15" style="428" customWidth="1"/>
    <col min="10762" max="10762" width="47.42578125" style="428" customWidth="1"/>
    <col min="10763" max="11008" width="9.140625" style="428"/>
    <col min="11009" max="11009" width="3.85546875" style="428" customWidth="1"/>
    <col min="11010" max="11010" width="28.5703125" style="428" customWidth="1"/>
    <col min="11011" max="11011" width="11.28515625" style="428" customWidth="1"/>
    <col min="11012" max="11012" width="13.140625" style="428" customWidth="1"/>
    <col min="11013" max="11013" width="28.28515625" style="428" customWidth="1"/>
    <col min="11014" max="11014" width="7.28515625" style="428" customWidth="1"/>
    <col min="11015" max="11015" width="22.7109375" style="428" customWidth="1"/>
    <col min="11016" max="11016" width="16.85546875" style="428" customWidth="1"/>
    <col min="11017" max="11017" width="15" style="428" customWidth="1"/>
    <col min="11018" max="11018" width="47.42578125" style="428" customWidth="1"/>
    <col min="11019" max="11264" width="9.140625" style="428"/>
    <col min="11265" max="11265" width="3.85546875" style="428" customWidth="1"/>
    <col min="11266" max="11266" width="28.5703125" style="428" customWidth="1"/>
    <col min="11267" max="11267" width="11.28515625" style="428" customWidth="1"/>
    <col min="11268" max="11268" width="13.140625" style="428" customWidth="1"/>
    <col min="11269" max="11269" width="28.28515625" style="428" customWidth="1"/>
    <col min="11270" max="11270" width="7.28515625" style="428" customWidth="1"/>
    <col min="11271" max="11271" width="22.7109375" style="428" customWidth="1"/>
    <col min="11272" max="11272" width="16.85546875" style="428" customWidth="1"/>
    <col min="11273" max="11273" width="15" style="428" customWidth="1"/>
    <col min="11274" max="11274" width="47.42578125" style="428" customWidth="1"/>
    <col min="11275" max="11520" width="9.140625" style="428"/>
    <col min="11521" max="11521" width="3.85546875" style="428" customWidth="1"/>
    <col min="11522" max="11522" width="28.5703125" style="428" customWidth="1"/>
    <col min="11523" max="11523" width="11.28515625" style="428" customWidth="1"/>
    <col min="11524" max="11524" width="13.140625" style="428" customWidth="1"/>
    <col min="11525" max="11525" width="28.28515625" style="428" customWidth="1"/>
    <col min="11526" max="11526" width="7.28515625" style="428" customWidth="1"/>
    <col min="11527" max="11527" width="22.7109375" style="428" customWidth="1"/>
    <col min="11528" max="11528" width="16.85546875" style="428" customWidth="1"/>
    <col min="11529" max="11529" width="15" style="428" customWidth="1"/>
    <col min="11530" max="11530" width="47.42578125" style="428" customWidth="1"/>
    <col min="11531" max="11776" width="9.140625" style="428"/>
    <col min="11777" max="11777" width="3.85546875" style="428" customWidth="1"/>
    <col min="11778" max="11778" width="28.5703125" style="428" customWidth="1"/>
    <col min="11779" max="11779" width="11.28515625" style="428" customWidth="1"/>
    <col min="11780" max="11780" width="13.140625" style="428" customWidth="1"/>
    <col min="11781" max="11781" width="28.28515625" style="428" customWidth="1"/>
    <col min="11782" max="11782" width="7.28515625" style="428" customWidth="1"/>
    <col min="11783" max="11783" width="22.7109375" style="428" customWidth="1"/>
    <col min="11784" max="11784" width="16.85546875" style="428" customWidth="1"/>
    <col min="11785" max="11785" width="15" style="428" customWidth="1"/>
    <col min="11786" max="11786" width="47.42578125" style="428" customWidth="1"/>
    <col min="11787" max="12032" width="9.140625" style="428"/>
    <col min="12033" max="12033" width="3.85546875" style="428" customWidth="1"/>
    <col min="12034" max="12034" width="28.5703125" style="428" customWidth="1"/>
    <col min="12035" max="12035" width="11.28515625" style="428" customWidth="1"/>
    <col min="12036" max="12036" width="13.140625" style="428" customWidth="1"/>
    <col min="12037" max="12037" width="28.28515625" style="428" customWidth="1"/>
    <col min="12038" max="12038" width="7.28515625" style="428" customWidth="1"/>
    <col min="12039" max="12039" width="22.7109375" style="428" customWidth="1"/>
    <col min="12040" max="12040" width="16.85546875" style="428" customWidth="1"/>
    <col min="12041" max="12041" width="15" style="428" customWidth="1"/>
    <col min="12042" max="12042" width="47.42578125" style="428" customWidth="1"/>
    <col min="12043" max="12288" width="9.140625" style="428"/>
    <col min="12289" max="12289" width="3.85546875" style="428" customWidth="1"/>
    <col min="12290" max="12290" width="28.5703125" style="428" customWidth="1"/>
    <col min="12291" max="12291" width="11.28515625" style="428" customWidth="1"/>
    <col min="12292" max="12292" width="13.140625" style="428" customWidth="1"/>
    <col min="12293" max="12293" width="28.28515625" style="428" customWidth="1"/>
    <col min="12294" max="12294" width="7.28515625" style="428" customWidth="1"/>
    <col min="12295" max="12295" width="22.7109375" style="428" customWidth="1"/>
    <col min="12296" max="12296" width="16.85546875" style="428" customWidth="1"/>
    <col min="12297" max="12297" width="15" style="428" customWidth="1"/>
    <col min="12298" max="12298" width="47.42578125" style="428" customWidth="1"/>
    <col min="12299" max="12544" width="9.140625" style="428"/>
    <col min="12545" max="12545" width="3.85546875" style="428" customWidth="1"/>
    <col min="12546" max="12546" width="28.5703125" style="428" customWidth="1"/>
    <col min="12547" max="12547" width="11.28515625" style="428" customWidth="1"/>
    <col min="12548" max="12548" width="13.140625" style="428" customWidth="1"/>
    <col min="12549" max="12549" width="28.28515625" style="428" customWidth="1"/>
    <col min="12550" max="12550" width="7.28515625" style="428" customWidth="1"/>
    <col min="12551" max="12551" width="22.7109375" style="428" customWidth="1"/>
    <col min="12552" max="12552" width="16.85546875" style="428" customWidth="1"/>
    <col min="12553" max="12553" width="15" style="428" customWidth="1"/>
    <col min="12554" max="12554" width="47.42578125" style="428" customWidth="1"/>
    <col min="12555" max="12800" width="9.140625" style="428"/>
    <col min="12801" max="12801" width="3.85546875" style="428" customWidth="1"/>
    <col min="12802" max="12802" width="28.5703125" style="428" customWidth="1"/>
    <col min="12803" max="12803" width="11.28515625" style="428" customWidth="1"/>
    <col min="12804" max="12804" width="13.140625" style="428" customWidth="1"/>
    <col min="12805" max="12805" width="28.28515625" style="428" customWidth="1"/>
    <col min="12806" max="12806" width="7.28515625" style="428" customWidth="1"/>
    <col min="12807" max="12807" width="22.7109375" style="428" customWidth="1"/>
    <col min="12808" max="12808" width="16.85546875" style="428" customWidth="1"/>
    <col min="12809" max="12809" width="15" style="428" customWidth="1"/>
    <col min="12810" max="12810" width="47.42578125" style="428" customWidth="1"/>
    <col min="12811" max="13056" width="9.140625" style="428"/>
    <col min="13057" max="13057" width="3.85546875" style="428" customWidth="1"/>
    <col min="13058" max="13058" width="28.5703125" style="428" customWidth="1"/>
    <col min="13059" max="13059" width="11.28515625" style="428" customWidth="1"/>
    <col min="13060" max="13060" width="13.140625" style="428" customWidth="1"/>
    <col min="13061" max="13061" width="28.28515625" style="428" customWidth="1"/>
    <col min="13062" max="13062" width="7.28515625" style="428" customWidth="1"/>
    <col min="13063" max="13063" width="22.7109375" style="428" customWidth="1"/>
    <col min="13064" max="13064" width="16.85546875" style="428" customWidth="1"/>
    <col min="13065" max="13065" width="15" style="428" customWidth="1"/>
    <col min="13066" max="13066" width="47.42578125" style="428" customWidth="1"/>
    <col min="13067" max="13312" width="9.140625" style="428"/>
    <col min="13313" max="13313" width="3.85546875" style="428" customWidth="1"/>
    <col min="13314" max="13314" width="28.5703125" style="428" customWidth="1"/>
    <col min="13315" max="13315" width="11.28515625" style="428" customWidth="1"/>
    <col min="13316" max="13316" width="13.140625" style="428" customWidth="1"/>
    <col min="13317" max="13317" width="28.28515625" style="428" customWidth="1"/>
    <col min="13318" max="13318" width="7.28515625" style="428" customWidth="1"/>
    <col min="13319" max="13319" width="22.7109375" style="428" customWidth="1"/>
    <col min="13320" max="13320" width="16.85546875" style="428" customWidth="1"/>
    <col min="13321" max="13321" width="15" style="428" customWidth="1"/>
    <col min="13322" max="13322" width="47.42578125" style="428" customWidth="1"/>
    <col min="13323" max="13568" width="9.140625" style="428"/>
    <col min="13569" max="13569" width="3.85546875" style="428" customWidth="1"/>
    <col min="13570" max="13570" width="28.5703125" style="428" customWidth="1"/>
    <col min="13571" max="13571" width="11.28515625" style="428" customWidth="1"/>
    <col min="13572" max="13572" width="13.140625" style="428" customWidth="1"/>
    <col min="13573" max="13573" width="28.28515625" style="428" customWidth="1"/>
    <col min="13574" max="13574" width="7.28515625" style="428" customWidth="1"/>
    <col min="13575" max="13575" width="22.7109375" style="428" customWidth="1"/>
    <col min="13576" max="13576" width="16.85546875" style="428" customWidth="1"/>
    <col min="13577" max="13577" width="15" style="428" customWidth="1"/>
    <col min="13578" max="13578" width="47.42578125" style="428" customWidth="1"/>
    <col min="13579" max="13824" width="9.140625" style="428"/>
    <col min="13825" max="13825" width="3.85546875" style="428" customWidth="1"/>
    <col min="13826" max="13826" width="28.5703125" style="428" customWidth="1"/>
    <col min="13827" max="13827" width="11.28515625" style="428" customWidth="1"/>
    <col min="13828" max="13828" width="13.140625" style="428" customWidth="1"/>
    <col min="13829" max="13829" width="28.28515625" style="428" customWidth="1"/>
    <col min="13830" max="13830" width="7.28515625" style="428" customWidth="1"/>
    <col min="13831" max="13831" width="22.7109375" style="428" customWidth="1"/>
    <col min="13832" max="13832" width="16.85546875" style="428" customWidth="1"/>
    <col min="13833" max="13833" width="15" style="428" customWidth="1"/>
    <col min="13834" max="13834" width="47.42578125" style="428" customWidth="1"/>
    <col min="13835" max="14080" width="9.140625" style="428"/>
    <col min="14081" max="14081" width="3.85546875" style="428" customWidth="1"/>
    <col min="14082" max="14082" width="28.5703125" style="428" customWidth="1"/>
    <col min="14083" max="14083" width="11.28515625" style="428" customWidth="1"/>
    <col min="14084" max="14084" width="13.140625" style="428" customWidth="1"/>
    <col min="14085" max="14085" width="28.28515625" style="428" customWidth="1"/>
    <col min="14086" max="14086" width="7.28515625" style="428" customWidth="1"/>
    <col min="14087" max="14087" width="22.7109375" style="428" customWidth="1"/>
    <col min="14088" max="14088" width="16.85546875" style="428" customWidth="1"/>
    <col min="14089" max="14089" width="15" style="428" customWidth="1"/>
    <col min="14090" max="14090" width="47.42578125" style="428" customWidth="1"/>
    <col min="14091" max="14336" width="9.140625" style="428"/>
    <col min="14337" max="14337" width="3.85546875" style="428" customWidth="1"/>
    <col min="14338" max="14338" width="28.5703125" style="428" customWidth="1"/>
    <col min="14339" max="14339" width="11.28515625" style="428" customWidth="1"/>
    <col min="14340" max="14340" width="13.140625" style="428" customWidth="1"/>
    <col min="14341" max="14341" width="28.28515625" style="428" customWidth="1"/>
    <col min="14342" max="14342" width="7.28515625" style="428" customWidth="1"/>
    <col min="14343" max="14343" width="22.7109375" style="428" customWidth="1"/>
    <col min="14344" max="14344" width="16.85546875" style="428" customWidth="1"/>
    <col min="14345" max="14345" width="15" style="428" customWidth="1"/>
    <col min="14346" max="14346" width="47.42578125" style="428" customWidth="1"/>
    <col min="14347" max="14592" width="9.140625" style="428"/>
    <col min="14593" max="14593" width="3.85546875" style="428" customWidth="1"/>
    <col min="14594" max="14594" width="28.5703125" style="428" customWidth="1"/>
    <col min="14595" max="14595" width="11.28515625" style="428" customWidth="1"/>
    <col min="14596" max="14596" width="13.140625" style="428" customWidth="1"/>
    <col min="14597" max="14597" width="28.28515625" style="428" customWidth="1"/>
    <col min="14598" max="14598" width="7.28515625" style="428" customWidth="1"/>
    <col min="14599" max="14599" width="22.7109375" style="428" customWidth="1"/>
    <col min="14600" max="14600" width="16.85546875" style="428" customWidth="1"/>
    <col min="14601" max="14601" width="15" style="428" customWidth="1"/>
    <col min="14602" max="14602" width="47.42578125" style="428" customWidth="1"/>
    <col min="14603" max="14848" width="9.140625" style="428"/>
    <col min="14849" max="14849" width="3.85546875" style="428" customWidth="1"/>
    <col min="14850" max="14850" width="28.5703125" style="428" customWidth="1"/>
    <col min="14851" max="14851" width="11.28515625" style="428" customWidth="1"/>
    <col min="14852" max="14852" width="13.140625" style="428" customWidth="1"/>
    <col min="14853" max="14853" width="28.28515625" style="428" customWidth="1"/>
    <col min="14854" max="14854" width="7.28515625" style="428" customWidth="1"/>
    <col min="14855" max="14855" width="22.7109375" style="428" customWidth="1"/>
    <col min="14856" max="14856" width="16.85546875" style="428" customWidth="1"/>
    <col min="14857" max="14857" width="15" style="428" customWidth="1"/>
    <col min="14858" max="14858" width="47.42578125" style="428" customWidth="1"/>
    <col min="14859" max="15104" width="9.140625" style="428"/>
    <col min="15105" max="15105" width="3.85546875" style="428" customWidth="1"/>
    <col min="15106" max="15106" width="28.5703125" style="428" customWidth="1"/>
    <col min="15107" max="15107" width="11.28515625" style="428" customWidth="1"/>
    <col min="15108" max="15108" width="13.140625" style="428" customWidth="1"/>
    <col min="15109" max="15109" width="28.28515625" style="428" customWidth="1"/>
    <col min="15110" max="15110" width="7.28515625" style="428" customWidth="1"/>
    <col min="15111" max="15111" width="22.7109375" style="428" customWidth="1"/>
    <col min="15112" max="15112" width="16.85546875" style="428" customWidth="1"/>
    <col min="15113" max="15113" width="15" style="428" customWidth="1"/>
    <col min="15114" max="15114" width="47.42578125" style="428" customWidth="1"/>
    <col min="15115" max="15360" width="9.140625" style="428"/>
    <col min="15361" max="15361" width="3.85546875" style="428" customWidth="1"/>
    <col min="15362" max="15362" width="28.5703125" style="428" customWidth="1"/>
    <col min="15363" max="15363" width="11.28515625" style="428" customWidth="1"/>
    <col min="15364" max="15364" width="13.140625" style="428" customWidth="1"/>
    <col min="15365" max="15365" width="28.28515625" style="428" customWidth="1"/>
    <col min="15366" max="15366" width="7.28515625" style="428" customWidth="1"/>
    <col min="15367" max="15367" width="22.7109375" style="428" customWidth="1"/>
    <col min="15368" max="15368" width="16.85546875" style="428" customWidth="1"/>
    <col min="15369" max="15369" width="15" style="428" customWidth="1"/>
    <col min="15370" max="15370" width="47.42578125" style="428" customWidth="1"/>
    <col min="15371" max="15616" width="9.140625" style="428"/>
    <col min="15617" max="15617" width="3.85546875" style="428" customWidth="1"/>
    <col min="15618" max="15618" width="28.5703125" style="428" customWidth="1"/>
    <col min="15619" max="15619" width="11.28515625" style="428" customWidth="1"/>
    <col min="15620" max="15620" width="13.140625" style="428" customWidth="1"/>
    <col min="15621" max="15621" width="28.28515625" style="428" customWidth="1"/>
    <col min="15622" max="15622" width="7.28515625" style="428" customWidth="1"/>
    <col min="15623" max="15623" width="22.7109375" style="428" customWidth="1"/>
    <col min="15624" max="15624" width="16.85546875" style="428" customWidth="1"/>
    <col min="15625" max="15625" width="15" style="428" customWidth="1"/>
    <col min="15626" max="15626" width="47.42578125" style="428" customWidth="1"/>
    <col min="15627" max="15872" width="9.140625" style="428"/>
    <col min="15873" max="15873" width="3.85546875" style="428" customWidth="1"/>
    <col min="15874" max="15874" width="28.5703125" style="428" customWidth="1"/>
    <col min="15875" max="15875" width="11.28515625" style="428" customWidth="1"/>
    <col min="15876" max="15876" width="13.140625" style="428" customWidth="1"/>
    <col min="15877" max="15877" width="28.28515625" style="428" customWidth="1"/>
    <col min="15878" max="15878" width="7.28515625" style="428" customWidth="1"/>
    <col min="15879" max="15879" width="22.7109375" style="428" customWidth="1"/>
    <col min="15880" max="15880" width="16.85546875" style="428" customWidth="1"/>
    <col min="15881" max="15881" width="15" style="428" customWidth="1"/>
    <col min="15882" max="15882" width="47.42578125" style="428" customWidth="1"/>
    <col min="15883" max="16128" width="9.140625" style="428"/>
    <col min="16129" max="16129" width="3.85546875" style="428" customWidth="1"/>
    <col min="16130" max="16130" width="28.5703125" style="428" customWidth="1"/>
    <col min="16131" max="16131" width="11.28515625" style="428" customWidth="1"/>
    <col min="16132" max="16132" width="13.140625" style="428" customWidth="1"/>
    <col min="16133" max="16133" width="28.28515625" style="428" customWidth="1"/>
    <col min="16134" max="16134" width="7.28515625" style="428" customWidth="1"/>
    <col min="16135" max="16135" width="22.7109375" style="428" customWidth="1"/>
    <col min="16136" max="16136" width="16.85546875" style="428" customWidth="1"/>
    <col min="16137" max="16137" width="15" style="428" customWidth="1"/>
    <col min="16138" max="16138" width="47.42578125" style="428" customWidth="1"/>
    <col min="16139" max="16384" width="9.140625" style="428"/>
  </cols>
  <sheetData>
    <row r="1" spans="1:9" x14ac:dyDescent="0.25">
      <c r="C1" s="429"/>
      <c r="G1" s="432"/>
      <c r="H1" s="433"/>
    </row>
    <row r="2" spans="1:9" x14ac:dyDescent="0.25">
      <c r="C2" s="429"/>
      <c r="G2" s="432"/>
      <c r="H2" s="435"/>
    </row>
    <row r="3" spans="1:9" ht="15.75" x14ac:dyDescent="0.25">
      <c r="C3" s="429"/>
      <c r="G3" s="436"/>
      <c r="H3" s="435"/>
    </row>
    <row r="4" spans="1:9" s="438" customFormat="1" ht="14.25" x14ac:dyDescent="0.2">
      <c r="A4" s="437"/>
      <c r="B4" s="437"/>
      <c r="C4" s="437"/>
      <c r="D4" s="437"/>
      <c r="E4" s="437"/>
      <c r="F4" s="437"/>
      <c r="G4" s="437"/>
      <c r="H4" s="437"/>
    </row>
    <row r="5" spans="1:9" x14ac:dyDescent="0.2">
      <c r="D5" s="439"/>
      <c r="F5" s="440"/>
      <c r="G5" s="475"/>
    </row>
    <row r="6" spans="1:9" x14ac:dyDescent="0.2">
      <c r="A6" s="758" t="s">
        <v>264</v>
      </c>
      <c r="B6" s="758"/>
      <c r="C6" s="758"/>
      <c r="D6" s="758"/>
      <c r="E6" s="758"/>
      <c r="F6" s="758"/>
      <c r="G6" s="758"/>
      <c r="H6" s="758"/>
    </row>
    <row r="7" spans="1:9" ht="102.75" customHeight="1" x14ac:dyDescent="0.2">
      <c r="A7" s="831" t="str">
        <f>'С С Р'!A6:G6</f>
        <v xml:space="preserve"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комплексной застройки, расположенных по адресу: 
г. Москва, Золоторожский Вал, вл. 11. </v>
      </c>
      <c r="B7" s="831"/>
      <c r="C7" s="831"/>
      <c r="D7" s="831"/>
      <c r="E7" s="831"/>
      <c r="F7" s="831"/>
      <c r="G7" s="831"/>
      <c r="H7" s="831"/>
    </row>
    <row r="8" spans="1:9" ht="15.75" x14ac:dyDescent="0.2">
      <c r="A8" s="831"/>
      <c r="B8" s="831"/>
      <c r="C8" s="831"/>
      <c r="D8" s="831"/>
      <c r="E8" s="831"/>
      <c r="F8" s="831"/>
      <c r="G8" s="831"/>
      <c r="H8" s="831"/>
    </row>
    <row r="9" spans="1:9" ht="15.75" x14ac:dyDescent="0.2">
      <c r="A9" s="831" t="s">
        <v>265</v>
      </c>
      <c r="B9" s="831"/>
      <c r="C9" s="831"/>
      <c r="D9" s="831"/>
      <c r="E9" s="831"/>
      <c r="F9" s="831"/>
      <c r="G9" s="831"/>
      <c r="H9" s="831"/>
    </row>
    <row r="10" spans="1:9" x14ac:dyDescent="0.2">
      <c r="A10" s="832" t="s">
        <v>266</v>
      </c>
      <c r="B10" s="832"/>
      <c r="C10" s="832"/>
      <c r="D10" s="832"/>
      <c r="E10" s="832"/>
      <c r="F10" s="832"/>
      <c r="G10" s="832"/>
      <c r="H10" s="832"/>
    </row>
    <row r="11" spans="1:9" x14ac:dyDescent="0.2">
      <c r="A11" s="758" t="s">
        <v>267</v>
      </c>
      <c r="B11" s="758"/>
      <c r="C11" s="758"/>
      <c r="D11" s="758"/>
      <c r="E11" s="758"/>
      <c r="F11" s="758"/>
      <c r="G11" s="758"/>
      <c r="H11" s="758"/>
    </row>
    <row r="12" spans="1:9" ht="15.75" thickBot="1" x14ac:dyDescent="0.25">
      <c r="B12" s="442"/>
      <c r="C12" s="442"/>
      <c r="D12" s="428"/>
      <c r="I12" s="443"/>
    </row>
    <row r="13" spans="1:9" x14ac:dyDescent="0.2">
      <c r="A13" s="836">
        <v>1</v>
      </c>
      <c r="B13" s="839" t="s">
        <v>268</v>
      </c>
      <c r="C13" s="829">
        <v>1</v>
      </c>
      <c r="D13" s="841">
        <f>ROUND(C15+C13*C16,2)</f>
        <v>86460</v>
      </c>
      <c r="E13" s="827" t="s">
        <v>269</v>
      </c>
      <c r="F13" s="829">
        <v>1.2</v>
      </c>
      <c r="G13" s="829" t="str">
        <f>CONCATENATE(D13," х ",F13," х ",F15)</f>
        <v>86460 х 1,2 х 0,3</v>
      </c>
      <c r="H13" s="834">
        <f>ROUND(D13*F13*F15,2)</f>
        <v>31125.599999999999</v>
      </c>
    </row>
    <row r="14" spans="1:9" x14ac:dyDescent="0.2">
      <c r="A14" s="837"/>
      <c r="B14" s="840"/>
      <c r="C14" s="830"/>
      <c r="D14" s="842"/>
      <c r="E14" s="828"/>
      <c r="F14" s="830"/>
      <c r="G14" s="830"/>
      <c r="H14" s="835"/>
    </row>
    <row r="15" spans="1:9" ht="75" x14ac:dyDescent="0.2">
      <c r="A15" s="837"/>
      <c r="B15" s="444" t="s">
        <v>270</v>
      </c>
      <c r="C15" s="445">
        <v>86460</v>
      </c>
      <c r="D15" s="446"/>
      <c r="E15" s="447" t="s">
        <v>271</v>
      </c>
      <c r="F15" s="448">
        <v>0.3</v>
      </c>
      <c r="G15" s="449"/>
      <c r="H15" s="450"/>
    </row>
    <row r="16" spans="1:9" ht="15.75" thickBot="1" x14ac:dyDescent="0.25">
      <c r="A16" s="838"/>
      <c r="B16" s="451" t="s">
        <v>11</v>
      </c>
      <c r="C16" s="452"/>
      <c r="D16" s="452"/>
      <c r="E16" s="453"/>
      <c r="F16" s="454"/>
      <c r="G16" s="455"/>
      <c r="H16" s="456"/>
    </row>
    <row r="17" spans="1:9" x14ac:dyDescent="0.2">
      <c r="A17" s="836">
        <v>2</v>
      </c>
      <c r="B17" s="839" t="s">
        <v>272</v>
      </c>
      <c r="C17" s="829">
        <v>1</v>
      </c>
      <c r="D17" s="841">
        <f>ROUND(C19+C17*C20,2)</f>
        <v>30603</v>
      </c>
      <c r="E17" s="827" t="s">
        <v>269</v>
      </c>
      <c r="F17" s="829">
        <v>1.2</v>
      </c>
      <c r="G17" s="829" t="str">
        <f>CONCATENATE(D17," х ",F17)</f>
        <v>30603 х 1,2</v>
      </c>
      <c r="H17" s="834">
        <f>ROUND(D17*F17,2)</f>
        <v>36723.599999999999</v>
      </c>
    </row>
    <row r="18" spans="1:9" x14ac:dyDescent="0.2">
      <c r="A18" s="837"/>
      <c r="B18" s="840"/>
      <c r="C18" s="830"/>
      <c r="D18" s="842"/>
      <c r="E18" s="828"/>
      <c r="F18" s="830"/>
      <c r="G18" s="830"/>
      <c r="H18" s="835"/>
    </row>
    <row r="19" spans="1:9" ht="30" x14ac:dyDescent="0.2">
      <c r="A19" s="837"/>
      <c r="B19" s="444" t="s">
        <v>273</v>
      </c>
      <c r="C19" s="445">
        <v>25980</v>
      </c>
      <c r="D19" s="446"/>
      <c r="E19" s="447"/>
      <c r="F19" s="448"/>
      <c r="G19" s="449"/>
      <c r="H19" s="450"/>
    </row>
    <row r="20" spans="1:9" ht="15.75" thickBot="1" x14ac:dyDescent="0.25">
      <c r="A20" s="838"/>
      <c r="B20" s="451" t="s">
        <v>11</v>
      </c>
      <c r="C20" s="457">
        <v>4623</v>
      </c>
      <c r="D20" s="452"/>
      <c r="E20" s="453"/>
      <c r="F20" s="454"/>
      <c r="G20" s="455"/>
      <c r="H20" s="456"/>
    </row>
    <row r="21" spans="1:9" ht="15.75" thickBot="1" x14ac:dyDescent="0.25">
      <c r="A21" s="458"/>
      <c r="B21" s="459" t="s">
        <v>274</v>
      </c>
      <c r="C21" s="460"/>
      <c r="D21" s="460"/>
      <c r="E21" s="460"/>
      <c r="F21" s="460"/>
      <c r="G21" s="460"/>
      <c r="H21" s="461">
        <f>ROUND(H13+H17,2)</f>
        <v>67849.2</v>
      </c>
      <c r="I21" s="428"/>
    </row>
    <row r="22" spans="1:9" ht="30.75" hidden="1" thickBot="1" x14ac:dyDescent="0.25">
      <c r="A22" s="462"/>
      <c r="B22" s="833" t="s">
        <v>275</v>
      </c>
      <c r="C22" s="833"/>
      <c r="D22" s="833"/>
      <c r="E22" s="463" t="s">
        <v>276</v>
      </c>
      <c r="F22" s="464">
        <v>1</v>
      </c>
      <c r="G22" s="465" t="str">
        <f>CONCATENATE(H21," х ",F22)</f>
        <v>67849,2 х 1</v>
      </c>
      <c r="H22" s="466">
        <f>ROUND(H21*F22,2)</f>
        <v>67849.2</v>
      </c>
    </row>
    <row r="23" spans="1:9" ht="15.75" thickBot="1" x14ac:dyDescent="0.25">
      <c r="A23" s="462"/>
      <c r="B23" s="833" t="s">
        <v>277</v>
      </c>
      <c r="C23" s="833"/>
      <c r="D23" s="833"/>
      <c r="E23" s="467" t="s">
        <v>278</v>
      </c>
      <c r="F23" s="467">
        <v>1.19</v>
      </c>
      <c r="G23" s="468" t="str">
        <f>CONCATENATE(H22," / ",F23)</f>
        <v>67849,2 / 1,19</v>
      </c>
      <c r="H23" s="461">
        <f>ROUND(H22/F23,2)</f>
        <v>57016.13</v>
      </c>
    </row>
    <row r="24" spans="1:9" x14ac:dyDescent="0.2">
      <c r="A24" s="469"/>
      <c r="B24" s="470"/>
      <c r="C24" s="470"/>
      <c r="D24" s="470"/>
      <c r="E24" s="471"/>
      <c r="F24" s="472"/>
      <c r="G24" s="473"/>
      <c r="H24" s="474"/>
    </row>
    <row r="25" spans="1:9" x14ac:dyDescent="0.2">
      <c r="A25" s="469"/>
      <c r="B25" s="470"/>
      <c r="C25" s="470"/>
      <c r="D25" s="470"/>
      <c r="E25" s="471"/>
      <c r="F25" s="472"/>
      <c r="G25" s="473"/>
      <c r="H25" s="474"/>
    </row>
    <row r="27" spans="1:9" x14ac:dyDescent="0.2">
      <c r="B27" s="428">
        <f>Т.с.!B285</f>
        <v>0</v>
      </c>
    </row>
    <row r="31" spans="1:9" x14ac:dyDescent="0.2">
      <c r="B31" s="428">
        <f>Т.с.!B288</f>
        <v>0</v>
      </c>
    </row>
  </sheetData>
  <mergeCells count="24"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  <mergeCell ref="F13:F14"/>
    <mergeCell ref="A6:H6"/>
    <mergeCell ref="A7:H7"/>
    <mergeCell ref="A8:H8"/>
    <mergeCell ref="A9:H9"/>
    <mergeCell ref="A10:H10"/>
    <mergeCell ref="A11:H11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topLeftCell="A5" zoomScale="85" zoomScaleNormal="100" zoomScaleSheetLayoutView="85" workbookViewId="0">
      <selection activeCell="E17" sqref="E17"/>
    </sheetView>
  </sheetViews>
  <sheetFormatPr defaultRowHeight="12.75" x14ac:dyDescent="0.2"/>
  <cols>
    <col min="1" max="1" width="4.140625" style="201" customWidth="1"/>
    <col min="2" max="2" width="24.85546875" style="61" customWidth="1"/>
    <col min="3" max="3" width="12.5703125" style="61" customWidth="1"/>
    <col min="4" max="4" width="25.85546875" style="61" customWidth="1"/>
    <col min="5" max="5" width="9.42578125" style="61" customWidth="1"/>
    <col min="6" max="6" width="21.7109375" style="61" customWidth="1"/>
    <col min="7" max="7" width="12.5703125" style="61" customWidth="1"/>
    <col min="8" max="8" width="16.5703125" style="61" customWidth="1"/>
    <col min="9" max="11" width="11" style="61" customWidth="1"/>
    <col min="12" max="12" width="11" style="205" customWidth="1"/>
    <col min="13" max="13" width="11" style="61" customWidth="1"/>
    <col min="14" max="14" width="10.28515625" style="61" customWidth="1"/>
    <col min="15" max="250" width="9.140625" style="61"/>
    <col min="251" max="251" width="4.140625" style="61" customWidth="1"/>
    <col min="252" max="252" width="29" style="61" customWidth="1"/>
    <col min="253" max="253" width="15.85546875" style="61" customWidth="1"/>
    <col min="254" max="254" width="25.85546875" style="61" customWidth="1"/>
    <col min="255" max="255" width="9.42578125" style="61" customWidth="1"/>
    <col min="256" max="256" width="18.28515625" style="61" customWidth="1"/>
    <col min="257" max="257" width="16.28515625" style="61" customWidth="1"/>
    <col min="258" max="258" width="10.7109375" style="61" customWidth="1"/>
    <col min="259" max="261" width="0" style="61" hidden="1" customWidth="1"/>
    <col min="262" max="262" width="16.7109375" style="61" customWidth="1"/>
    <col min="263" max="263" width="11.42578125" style="61" customWidth="1"/>
    <col min="264" max="506" width="9.140625" style="61"/>
    <col min="507" max="507" width="4.140625" style="61" customWidth="1"/>
    <col min="508" max="508" width="29" style="61" customWidth="1"/>
    <col min="509" max="509" width="15.85546875" style="61" customWidth="1"/>
    <col min="510" max="510" width="25.85546875" style="61" customWidth="1"/>
    <col min="511" max="511" width="9.42578125" style="61" customWidth="1"/>
    <col min="512" max="512" width="18.28515625" style="61" customWidth="1"/>
    <col min="513" max="513" width="16.28515625" style="61" customWidth="1"/>
    <col min="514" max="514" width="10.7109375" style="61" customWidth="1"/>
    <col min="515" max="517" width="0" style="61" hidden="1" customWidth="1"/>
    <col min="518" max="518" width="16.7109375" style="61" customWidth="1"/>
    <col min="519" max="519" width="11.42578125" style="61" customWidth="1"/>
    <col min="520" max="762" width="9.140625" style="61"/>
    <col min="763" max="763" width="4.140625" style="61" customWidth="1"/>
    <col min="764" max="764" width="29" style="61" customWidth="1"/>
    <col min="765" max="765" width="15.85546875" style="61" customWidth="1"/>
    <col min="766" max="766" width="25.85546875" style="61" customWidth="1"/>
    <col min="767" max="767" width="9.42578125" style="61" customWidth="1"/>
    <col min="768" max="768" width="18.28515625" style="61" customWidth="1"/>
    <col min="769" max="769" width="16.28515625" style="61" customWidth="1"/>
    <col min="770" max="770" width="10.7109375" style="61" customWidth="1"/>
    <col min="771" max="773" width="0" style="61" hidden="1" customWidth="1"/>
    <col min="774" max="774" width="16.7109375" style="61" customWidth="1"/>
    <col min="775" max="775" width="11.42578125" style="61" customWidth="1"/>
    <col min="776" max="1018" width="9.140625" style="61"/>
    <col min="1019" max="1019" width="4.140625" style="61" customWidth="1"/>
    <col min="1020" max="1020" width="29" style="61" customWidth="1"/>
    <col min="1021" max="1021" width="15.85546875" style="61" customWidth="1"/>
    <col min="1022" max="1022" width="25.85546875" style="61" customWidth="1"/>
    <col min="1023" max="1023" width="9.42578125" style="61" customWidth="1"/>
    <col min="1024" max="1024" width="18.28515625" style="61" customWidth="1"/>
    <col min="1025" max="1025" width="16.28515625" style="61" customWidth="1"/>
    <col min="1026" max="1026" width="10.7109375" style="61" customWidth="1"/>
    <col min="1027" max="1029" width="0" style="61" hidden="1" customWidth="1"/>
    <col min="1030" max="1030" width="16.7109375" style="61" customWidth="1"/>
    <col min="1031" max="1031" width="11.42578125" style="61" customWidth="1"/>
    <col min="1032" max="1274" width="9.140625" style="61"/>
    <col min="1275" max="1275" width="4.140625" style="61" customWidth="1"/>
    <col min="1276" max="1276" width="29" style="61" customWidth="1"/>
    <col min="1277" max="1277" width="15.85546875" style="61" customWidth="1"/>
    <col min="1278" max="1278" width="25.85546875" style="61" customWidth="1"/>
    <col min="1279" max="1279" width="9.42578125" style="61" customWidth="1"/>
    <col min="1280" max="1280" width="18.28515625" style="61" customWidth="1"/>
    <col min="1281" max="1281" width="16.28515625" style="61" customWidth="1"/>
    <col min="1282" max="1282" width="10.7109375" style="61" customWidth="1"/>
    <col min="1283" max="1285" width="0" style="61" hidden="1" customWidth="1"/>
    <col min="1286" max="1286" width="16.7109375" style="61" customWidth="1"/>
    <col min="1287" max="1287" width="11.42578125" style="61" customWidth="1"/>
    <col min="1288" max="1530" width="9.140625" style="61"/>
    <col min="1531" max="1531" width="4.140625" style="61" customWidth="1"/>
    <col min="1532" max="1532" width="29" style="61" customWidth="1"/>
    <col min="1533" max="1533" width="15.85546875" style="61" customWidth="1"/>
    <col min="1534" max="1534" width="25.85546875" style="61" customWidth="1"/>
    <col min="1535" max="1535" width="9.42578125" style="61" customWidth="1"/>
    <col min="1536" max="1536" width="18.28515625" style="61" customWidth="1"/>
    <col min="1537" max="1537" width="16.28515625" style="61" customWidth="1"/>
    <col min="1538" max="1538" width="10.7109375" style="61" customWidth="1"/>
    <col min="1539" max="1541" width="0" style="61" hidden="1" customWidth="1"/>
    <col min="1542" max="1542" width="16.7109375" style="61" customWidth="1"/>
    <col min="1543" max="1543" width="11.42578125" style="61" customWidth="1"/>
    <col min="1544" max="1786" width="9.140625" style="61"/>
    <col min="1787" max="1787" width="4.140625" style="61" customWidth="1"/>
    <col min="1788" max="1788" width="29" style="61" customWidth="1"/>
    <col min="1789" max="1789" width="15.85546875" style="61" customWidth="1"/>
    <col min="1790" max="1790" width="25.85546875" style="61" customWidth="1"/>
    <col min="1791" max="1791" width="9.42578125" style="61" customWidth="1"/>
    <col min="1792" max="1792" width="18.28515625" style="61" customWidth="1"/>
    <col min="1793" max="1793" width="16.28515625" style="61" customWidth="1"/>
    <col min="1794" max="1794" width="10.7109375" style="61" customWidth="1"/>
    <col min="1795" max="1797" width="0" style="61" hidden="1" customWidth="1"/>
    <col min="1798" max="1798" width="16.7109375" style="61" customWidth="1"/>
    <col min="1799" max="1799" width="11.42578125" style="61" customWidth="1"/>
    <col min="1800" max="2042" width="9.140625" style="61"/>
    <col min="2043" max="2043" width="4.140625" style="61" customWidth="1"/>
    <col min="2044" max="2044" width="29" style="61" customWidth="1"/>
    <col min="2045" max="2045" width="15.85546875" style="61" customWidth="1"/>
    <col min="2046" max="2046" width="25.85546875" style="61" customWidth="1"/>
    <col min="2047" max="2047" width="9.42578125" style="61" customWidth="1"/>
    <col min="2048" max="2048" width="18.28515625" style="61" customWidth="1"/>
    <col min="2049" max="2049" width="16.28515625" style="61" customWidth="1"/>
    <col min="2050" max="2050" width="10.7109375" style="61" customWidth="1"/>
    <col min="2051" max="2053" width="0" style="61" hidden="1" customWidth="1"/>
    <col min="2054" max="2054" width="16.7109375" style="61" customWidth="1"/>
    <col min="2055" max="2055" width="11.42578125" style="61" customWidth="1"/>
    <col min="2056" max="2298" width="9.140625" style="61"/>
    <col min="2299" max="2299" width="4.140625" style="61" customWidth="1"/>
    <col min="2300" max="2300" width="29" style="61" customWidth="1"/>
    <col min="2301" max="2301" width="15.85546875" style="61" customWidth="1"/>
    <col min="2302" max="2302" width="25.85546875" style="61" customWidth="1"/>
    <col min="2303" max="2303" width="9.42578125" style="61" customWidth="1"/>
    <col min="2304" max="2304" width="18.28515625" style="61" customWidth="1"/>
    <col min="2305" max="2305" width="16.28515625" style="61" customWidth="1"/>
    <col min="2306" max="2306" width="10.7109375" style="61" customWidth="1"/>
    <col min="2307" max="2309" width="0" style="61" hidden="1" customWidth="1"/>
    <col min="2310" max="2310" width="16.7109375" style="61" customWidth="1"/>
    <col min="2311" max="2311" width="11.42578125" style="61" customWidth="1"/>
    <col min="2312" max="2554" width="9.140625" style="61"/>
    <col min="2555" max="2555" width="4.140625" style="61" customWidth="1"/>
    <col min="2556" max="2556" width="29" style="61" customWidth="1"/>
    <col min="2557" max="2557" width="15.85546875" style="61" customWidth="1"/>
    <col min="2558" max="2558" width="25.85546875" style="61" customWidth="1"/>
    <col min="2559" max="2559" width="9.42578125" style="61" customWidth="1"/>
    <col min="2560" max="2560" width="18.28515625" style="61" customWidth="1"/>
    <col min="2561" max="2561" width="16.28515625" style="61" customWidth="1"/>
    <col min="2562" max="2562" width="10.7109375" style="61" customWidth="1"/>
    <col min="2563" max="2565" width="0" style="61" hidden="1" customWidth="1"/>
    <col min="2566" max="2566" width="16.7109375" style="61" customWidth="1"/>
    <col min="2567" max="2567" width="11.42578125" style="61" customWidth="1"/>
    <col min="2568" max="2810" width="9.140625" style="61"/>
    <col min="2811" max="2811" width="4.140625" style="61" customWidth="1"/>
    <col min="2812" max="2812" width="29" style="61" customWidth="1"/>
    <col min="2813" max="2813" width="15.85546875" style="61" customWidth="1"/>
    <col min="2814" max="2814" width="25.85546875" style="61" customWidth="1"/>
    <col min="2815" max="2815" width="9.42578125" style="61" customWidth="1"/>
    <col min="2816" max="2816" width="18.28515625" style="61" customWidth="1"/>
    <col min="2817" max="2817" width="16.28515625" style="61" customWidth="1"/>
    <col min="2818" max="2818" width="10.7109375" style="61" customWidth="1"/>
    <col min="2819" max="2821" width="0" style="61" hidden="1" customWidth="1"/>
    <col min="2822" max="2822" width="16.7109375" style="61" customWidth="1"/>
    <col min="2823" max="2823" width="11.42578125" style="61" customWidth="1"/>
    <col min="2824" max="3066" width="9.140625" style="61"/>
    <col min="3067" max="3067" width="4.140625" style="61" customWidth="1"/>
    <col min="3068" max="3068" width="29" style="61" customWidth="1"/>
    <col min="3069" max="3069" width="15.85546875" style="61" customWidth="1"/>
    <col min="3070" max="3070" width="25.85546875" style="61" customWidth="1"/>
    <col min="3071" max="3071" width="9.42578125" style="61" customWidth="1"/>
    <col min="3072" max="3072" width="18.28515625" style="61" customWidth="1"/>
    <col min="3073" max="3073" width="16.28515625" style="61" customWidth="1"/>
    <col min="3074" max="3074" width="10.7109375" style="61" customWidth="1"/>
    <col min="3075" max="3077" width="0" style="61" hidden="1" customWidth="1"/>
    <col min="3078" max="3078" width="16.7109375" style="61" customWidth="1"/>
    <col min="3079" max="3079" width="11.42578125" style="61" customWidth="1"/>
    <col min="3080" max="3322" width="9.140625" style="61"/>
    <col min="3323" max="3323" width="4.140625" style="61" customWidth="1"/>
    <col min="3324" max="3324" width="29" style="61" customWidth="1"/>
    <col min="3325" max="3325" width="15.85546875" style="61" customWidth="1"/>
    <col min="3326" max="3326" width="25.85546875" style="61" customWidth="1"/>
    <col min="3327" max="3327" width="9.42578125" style="61" customWidth="1"/>
    <col min="3328" max="3328" width="18.28515625" style="61" customWidth="1"/>
    <col min="3329" max="3329" width="16.28515625" style="61" customWidth="1"/>
    <col min="3330" max="3330" width="10.7109375" style="61" customWidth="1"/>
    <col min="3331" max="3333" width="0" style="61" hidden="1" customWidth="1"/>
    <col min="3334" max="3334" width="16.7109375" style="61" customWidth="1"/>
    <col min="3335" max="3335" width="11.42578125" style="61" customWidth="1"/>
    <col min="3336" max="3578" width="9.140625" style="61"/>
    <col min="3579" max="3579" width="4.140625" style="61" customWidth="1"/>
    <col min="3580" max="3580" width="29" style="61" customWidth="1"/>
    <col min="3581" max="3581" width="15.85546875" style="61" customWidth="1"/>
    <col min="3582" max="3582" width="25.85546875" style="61" customWidth="1"/>
    <col min="3583" max="3583" width="9.42578125" style="61" customWidth="1"/>
    <col min="3584" max="3584" width="18.28515625" style="61" customWidth="1"/>
    <col min="3585" max="3585" width="16.28515625" style="61" customWidth="1"/>
    <col min="3586" max="3586" width="10.7109375" style="61" customWidth="1"/>
    <col min="3587" max="3589" width="0" style="61" hidden="1" customWidth="1"/>
    <col min="3590" max="3590" width="16.7109375" style="61" customWidth="1"/>
    <col min="3591" max="3591" width="11.42578125" style="61" customWidth="1"/>
    <col min="3592" max="3834" width="9.140625" style="61"/>
    <col min="3835" max="3835" width="4.140625" style="61" customWidth="1"/>
    <col min="3836" max="3836" width="29" style="61" customWidth="1"/>
    <col min="3837" max="3837" width="15.85546875" style="61" customWidth="1"/>
    <col min="3838" max="3838" width="25.85546875" style="61" customWidth="1"/>
    <col min="3839" max="3839" width="9.42578125" style="61" customWidth="1"/>
    <col min="3840" max="3840" width="18.28515625" style="61" customWidth="1"/>
    <col min="3841" max="3841" width="16.28515625" style="61" customWidth="1"/>
    <col min="3842" max="3842" width="10.7109375" style="61" customWidth="1"/>
    <col min="3843" max="3845" width="0" style="61" hidden="1" customWidth="1"/>
    <col min="3846" max="3846" width="16.7109375" style="61" customWidth="1"/>
    <col min="3847" max="3847" width="11.42578125" style="61" customWidth="1"/>
    <col min="3848" max="4090" width="9.140625" style="61"/>
    <col min="4091" max="4091" width="4.140625" style="61" customWidth="1"/>
    <col min="4092" max="4092" width="29" style="61" customWidth="1"/>
    <col min="4093" max="4093" width="15.85546875" style="61" customWidth="1"/>
    <col min="4094" max="4094" width="25.85546875" style="61" customWidth="1"/>
    <col min="4095" max="4095" width="9.42578125" style="61" customWidth="1"/>
    <col min="4096" max="4096" width="18.28515625" style="61" customWidth="1"/>
    <col min="4097" max="4097" width="16.28515625" style="61" customWidth="1"/>
    <col min="4098" max="4098" width="10.7109375" style="61" customWidth="1"/>
    <col min="4099" max="4101" width="0" style="61" hidden="1" customWidth="1"/>
    <col min="4102" max="4102" width="16.7109375" style="61" customWidth="1"/>
    <col min="4103" max="4103" width="11.42578125" style="61" customWidth="1"/>
    <col min="4104" max="4346" width="9.140625" style="61"/>
    <col min="4347" max="4347" width="4.140625" style="61" customWidth="1"/>
    <col min="4348" max="4348" width="29" style="61" customWidth="1"/>
    <col min="4349" max="4349" width="15.85546875" style="61" customWidth="1"/>
    <col min="4350" max="4350" width="25.85546875" style="61" customWidth="1"/>
    <col min="4351" max="4351" width="9.42578125" style="61" customWidth="1"/>
    <col min="4352" max="4352" width="18.28515625" style="61" customWidth="1"/>
    <col min="4353" max="4353" width="16.28515625" style="61" customWidth="1"/>
    <col min="4354" max="4354" width="10.7109375" style="61" customWidth="1"/>
    <col min="4355" max="4357" width="0" style="61" hidden="1" customWidth="1"/>
    <col min="4358" max="4358" width="16.7109375" style="61" customWidth="1"/>
    <col min="4359" max="4359" width="11.42578125" style="61" customWidth="1"/>
    <col min="4360" max="4602" width="9.140625" style="61"/>
    <col min="4603" max="4603" width="4.140625" style="61" customWidth="1"/>
    <col min="4604" max="4604" width="29" style="61" customWidth="1"/>
    <col min="4605" max="4605" width="15.85546875" style="61" customWidth="1"/>
    <col min="4606" max="4606" width="25.85546875" style="61" customWidth="1"/>
    <col min="4607" max="4607" width="9.42578125" style="61" customWidth="1"/>
    <col min="4608" max="4608" width="18.28515625" style="61" customWidth="1"/>
    <col min="4609" max="4609" width="16.28515625" style="61" customWidth="1"/>
    <col min="4610" max="4610" width="10.7109375" style="61" customWidth="1"/>
    <col min="4611" max="4613" width="0" style="61" hidden="1" customWidth="1"/>
    <col min="4614" max="4614" width="16.7109375" style="61" customWidth="1"/>
    <col min="4615" max="4615" width="11.42578125" style="61" customWidth="1"/>
    <col min="4616" max="4858" width="9.140625" style="61"/>
    <col min="4859" max="4859" width="4.140625" style="61" customWidth="1"/>
    <col min="4860" max="4860" width="29" style="61" customWidth="1"/>
    <col min="4861" max="4861" width="15.85546875" style="61" customWidth="1"/>
    <col min="4862" max="4862" width="25.85546875" style="61" customWidth="1"/>
    <col min="4863" max="4863" width="9.42578125" style="61" customWidth="1"/>
    <col min="4864" max="4864" width="18.28515625" style="61" customWidth="1"/>
    <col min="4865" max="4865" width="16.28515625" style="61" customWidth="1"/>
    <col min="4866" max="4866" width="10.7109375" style="61" customWidth="1"/>
    <col min="4867" max="4869" width="0" style="61" hidden="1" customWidth="1"/>
    <col min="4870" max="4870" width="16.7109375" style="61" customWidth="1"/>
    <col min="4871" max="4871" width="11.42578125" style="61" customWidth="1"/>
    <col min="4872" max="5114" width="9.140625" style="61"/>
    <col min="5115" max="5115" width="4.140625" style="61" customWidth="1"/>
    <col min="5116" max="5116" width="29" style="61" customWidth="1"/>
    <col min="5117" max="5117" width="15.85546875" style="61" customWidth="1"/>
    <col min="5118" max="5118" width="25.85546875" style="61" customWidth="1"/>
    <col min="5119" max="5119" width="9.42578125" style="61" customWidth="1"/>
    <col min="5120" max="5120" width="18.28515625" style="61" customWidth="1"/>
    <col min="5121" max="5121" width="16.28515625" style="61" customWidth="1"/>
    <col min="5122" max="5122" width="10.7109375" style="61" customWidth="1"/>
    <col min="5123" max="5125" width="0" style="61" hidden="1" customWidth="1"/>
    <col min="5126" max="5126" width="16.7109375" style="61" customWidth="1"/>
    <col min="5127" max="5127" width="11.42578125" style="61" customWidth="1"/>
    <col min="5128" max="5370" width="9.140625" style="61"/>
    <col min="5371" max="5371" width="4.140625" style="61" customWidth="1"/>
    <col min="5372" max="5372" width="29" style="61" customWidth="1"/>
    <col min="5373" max="5373" width="15.85546875" style="61" customWidth="1"/>
    <col min="5374" max="5374" width="25.85546875" style="61" customWidth="1"/>
    <col min="5375" max="5375" width="9.42578125" style="61" customWidth="1"/>
    <col min="5376" max="5376" width="18.28515625" style="61" customWidth="1"/>
    <col min="5377" max="5377" width="16.28515625" style="61" customWidth="1"/>
    <col min="5378" max="5378" width="10.7109375" style="61" customWidth="1"/>
    <col min="5379" max="5381" width="0" style="61" hidden="1" customWidth="1"/>
    <col min="5382" max="5382" width="16.7109375" style="61" customWidth="1"/>
    <col min="5383" max="5383" width="11.42578125" style="61" customWidth="1"/>
    <col min="5384" max="5626" width="9.140625" style="61"/>
    <col min="5627" max="5627" width="4.140625" style="61" customWidth="1"/>
    <col min="5628" max="5628" width="29" style="61" customWidth="1"/>
    <col min="5629" max="5629" width="15.85546875" style="61" customWidth="1"/>
    <col min="5630" max="5630" width="25.85546875" style="61" customWidth="1"/>
    <col min="5631" max="5631" width="9.42578125" style="61" customWidth="1"/>
    <col min="5632" max="5632" width="18.28515625" style="61" customWidth="1"/>
    <col min="5633" max="5633" width="16.28515625" style="61" customWidth="1"/>
    <col min="5634" max="5634" width="10.7109375" style="61" customWidth="1"/>
    <col min="5635" max="5637" width="0" style="61" hidden="1" customWidth="1"/>
    <col min="5638" max="5638" width="16.7109375" style="61" customWidth="1"/>
    <col min="5639" max="5639" width="11.42578125" style="61" customWidth="1"/>
    <col min="5640" max="5882" width="9.140625" style="61"/>
    <col min="5883" max="5883" width="4.140625" style="61" customWidth="1"/>
    <col min="5884" max="5884" width="29" style="61" customWidth="1"/>
    <col min="5885" max="5885" width="15.85546875" style="61" customWidth="1"/>
    <col min="5886" max="5886" width="25.85546875" style="61" customWidth="1"/>
    <col min="5887" max="5887" width="9.42578125" style="61" customWidth="1"/>
    <col min="5888" max="5888" width="18.28515625" style="61" customWidth="1"/>
    <col min="5889" max="5889" width="16.28515625" style="61" customWidth="1"/>
    <col min="5890" max="5890" width="10.7109375" style="61" customWidth="1"/>
    <col min="5891" max="5893" width="0" style="61" hidden="1" customWidth="1"/>
    <col min="5894" max="5894" width="16.7109375" style="61" customWidth="1"/>
    <col min="5895" max="5895" width="11.42578125" style="61" customWidth="1"/>
    <col min="5896" max="6138" width="9.140625" style="61"/>
    <col min="6139" max="6139" width="4.140625" style="61" customWidth="1"/>
    <col min="6140" max="6140" width="29" style="61" customWidth="1"/>
    <col min="6141" max="6141" width="15.85546875" style="61" customWidth="1"/>
    <col min="6142" max="6142" width="25.85546875" style="61" customWidth="1"/>
    <col min="6143" max="6143" width="9.42578125" style="61" customWidth="1"/>
    <col min="6144" max="6144" width="18.28515625" style="61" customWidth="1"/>
    <col min="6145" max="6145" width="16.28515625" style="61" customWidth="1"/>
    <col min="6146" max="6146" width="10.7109375" style="61" customWidth="1"/>
    <col min="6147" max="6149" width="0" style="61" hidden="1" customWidth="1"/>
    <col min="6150" max="6150" width="16.7109375" style="61" customWidth="1"/>
    <col min="6151" max="6151" width="11.42578125" style="61" customWidth="1"/>
    <col min="6152" max="6394" width="9.140625" style="61"/>
    <col min="6395" max="6395" width="4.140625" style="61" customWidth="1"/>
    <col min="6396" max="6396" width="29" style="61" customWidth="1"/>
    <col min="6397" max="6397" width="15.85546875" style="61" customWidth="1"/>
    <col min="6398" max="6398" width="25.85546875" style="61" customWidth="1"/>
    <col min="6399" max="6399" width="9.42578125" style="61" customWidth="1"/>
    <col min="6400" max="6400" width="18.28515625" style="61" customWidth="1"/>
    <col min="6401" max="6401" width="16.28515625" style="61" customWidth="1"/>
    <col min="6402" max="6402" width="10.7109375" style="61" customWidth="1"/>
    <col min="6403" max="6405" width="0" style="61" hidden="1" customWidth="1"/>
    <col min="6406" max="6406" width="16.7109375" style="61" customWidth="1"/>
    <col min="6407" max="6407" width="11.42578125" style="61" customWidth="1"/>
    <col min="6408" max="6650" width="9.140625" style="61"/>
    <col min="6651" max="6651" width="4.140625" style="61" customWidth="1"/>
    <col min="6652" max="6652" width="29" style="61" customWidth="1"/>
    <col min="6653" max="6653" width="15.85546875" style="61" customWidth="1"/>
    <col min="6654" max="6654" width="25.85546875" style="61" customWidth="1"/>
    <col min="6655" max="6655" width="9.42578125" style="61" customWidth="1"/>
    <col min="6656" max="6656" width="18.28515625" style="61" customWidth="1"/>
    <col min="6657" max="6657" width="16.28515625" style="61" customWidth="1"/>
    <col min="6658" max="6658" width="10.7109375" style="61" customWidth="1"/>
    <col min="6659" max="6661" width="0" style="61" hidden="1" customWidth="1"/>
    <col min="6662" max="6662" width="16.7109375" style="61" customWidth="1"/>
    <col min="6663" max="6663" width="11.42578125" style="61" customWidth="1"/>
    <col min="6664" max="6906" width="9.140625" style="61"/>
    <col min="6907" max="6907" width="4.140625" style="61" customWidth="1"/>
    <col min="6908" max="6908" width="29" style="61" customWidth="1"/>
    <col min="6909" max="6909" width="15.85546875" style="61" customWidth="1"/>
    <col min="6910" max="6910" width="25.85546875" style="61" customWidth="1"/>
    <col min="6911" max="6911" width="9.42578125" style="61" customWidth="1"/>
    <col min="6912" max="6912" width="18.28515625" style="61" customWidth="1"/>
    <col min="6913" max="6913" width="16.28515625" style="61" customWidth="1"/>
    <col min="6914" max="6914" width="10.7109375" style="61" customWidth="1"/>
    <col min="6915" max="6917" width="0" style="61" hidden="1" customWidth="1"/>
    <col min="6918" max="6918" width="16.7109375" style="61" customWidth="1"/>
    <col min="6919" max="6919" width="11.42578125" style="61" customWidth="1"/>
    <col min="6920" max="7162" width="9.140625" style="61"/>
    <col min="7163" max="7163" width="4.140625" style="61" customWidth="1"/>
    <col min="7164" max="7164" width="29" style="61" customWidth="1"/>
    <col min="7165" max="7165" width="15.85546875" style="61" customWidth="1"/>
    <col min="7166" max="7166" width="25.85546875" style="61" customWidth="1"/>
    <col min="7167" max="7167" width="9.42578125" style="61" customWidth="1"/>
    <col min="7168" max="7168" width="18.28515625" style="61" customWidth="1"/>
    <col min="7169" max="7169" width="16.28515625" style="61" customWidth="1"/>
    <col min="7170" max="7170" width="10.7109375" style="61" customWidth="1"/>
    <col min="7171" max="7173" width="0" style="61" hidden="1" customWidth="1"/>
    <col min="7174" max="7174" width="16.7109375" style="61" customWidth="1"/>
    <col min="7175" max="7175" width="11.42578125" style="61" customWidth="1"/>
    <col min="7176" max="7418" width="9.140625" style="61"/>
    <col min="7419" max="7419" width="4.140625" style="61" customWidth="1"/>
    <col min="7420" max="7420" width="29" style="61" customWidth="1"/>
    <col min="7421" max="7421" width="15.85546875" style="61" customWidth="1"/>
    <col min="7422" max="7422" width="25.85546875" style="61" customWidth="1"/>
    <col min="7423" max="7423" width="9.42578125" style="61" customWidth="1"/>
    <col min="7424" max="7424" width="18.28515625" style="61" customWidth="1"/>
    <col min="7425" max="7425" width="16.28515625" style="61" customWidth="1"/>
    <col min="7426" max="7426" width="10.7109375" style="61" customWidth="1"/>
    <col min="7427" max="7429" width="0" style="61" hidden="1" customWidth="1"/>
    <col min="7430" max="7430" width="16.7109375" style="61" customWidth="1"/>
    <col min="7431" max="7431" width="11.42578125" style="61" customWidth="1"/>
    <col min="7432" max="7674" width="9.140625" style="61"/>
    <col min="7675" max="7675" width="4.140625" style="61" customWidth="1"/>
    <col min="7676" max="7676" width="29" style="61" customWidth="1"/>
    <col min="7677" max="7677" width="15.85546875" style="61" customWidth="1"/>
    <col min="7678" max="7678" width="25.85546875" style="61" customWidth="1"/>
    <col min="7679" max="7679" width="9.42578125" style="61" customWidth="1"/>
    <col min="7680" max="7680" width="18.28515625" style="61" customWidth="1"/>
    <col min="7681" max="7681" width="16.28515625" style="61" customWidth="1"/>
    <col min="7682" max="7682" width="10.7109375" style="61" customWidth="1"/>
    <col min="7683" max="7685" width="0" style="61" hidden="1" customWidth="1"/>
    <col min="7686" max="7686" width="16.7109375" style="61" customWidth="1"/>
    <col min="7687" max="7687" width="11.42578125" style="61" customWidth="1"/>
    <col min="7688" max="7930" width="9.140625" style="61"/>
    <col min="7931" max="7931" width="4.140625" style="61" customWidth="1"/>
    <col min="7932" max="7932" width="29" style="61" customWidth="1"/>
    <col min="7933" max="7933" width="15.85546875" style="61" customWidth="1"/>
    <col min="7934" max="7934" width="25.85546875" style="61" customWidth="1"/>
    <col min="7935" max="7935" width="9.42578125" style="61" customWidth="1"/>
    <col min="7936" max="7936" width="18.28515625" style="61" customWidth="1"/>
    <col min="7937" max="7937" width="16.28515625" style="61" customWidth="1"/>
    <col min="7938" max="7938" width="10.7109375" style="61" customWidth="1"/>
    <col min="7939" max="7941" width="0" style="61" hidden="1" customWidth="1"/>
    <col min="7942" max="7942" width="16.7109375" style="61" customWidth="1"/>
    <col min="7943" max="7943" width="11.42578125" style="61" customWidth="1"/>
    <col min="7944" max="8186" width="9.140625" style="61"/>
    <col min="8187" max="8187" width="4.140625" style="61" customWidth="1"/>
    <col min="8188" max="8188" width="29" style="61" customWidth="1"/>
    <col min="8189" max="8189" width="15.85546875" style="61" customWidth="1"/>
    <col min="8190" max="8190" width="25.85546875" style="61" customWidth="1"/>
    <col min="8191" max="8191" width="9.42578125" style="61" customWidth="1"/>
    <col min="8192" max="8192" width="18.28515625" style="61" customWidth="1"/>
    <col min="8193" max="8193" width="16.28515625" style="61" customWidth="1"/>
    <col min="8194" max="8194" width="10.7109375" style="61" customWidth="1"/>
    <col min="8195" max="8197" width="0" style="61" hidden="1" customWidth="1"/>
    <col min="8198" max="8198" width="16.7109375" style="61" customWidth="1"/>
    <col min="8199" max="8199" width="11.42578125" style="61" customWidth="1"/>
    <col min="8200" max="8442" width="9.140625" style="61"/>
    <col min="8443" max="8443" width="4.140625" style="61" customWidth="1"/>
    <col min="8444" max="8444" width="29" style="61" customWidth="1"/>
    <col min="8445" max="8445" width="15.85546875" style="61" customWidth="1"/>
    <col min="8446" max="8446" width="25.85546875" style="61" customWidth="1"/>
    <col min="8447" max="8447" width="9.42578125" style="61" customWidth="1"/>
    <col min="8448" max="8448" width="18.28515625" style="61" customWidth="1"/>
    <col min="8449" max="8449" width="16.28515625" style="61" customWidth="1"/>
    <col min="8450" max="8450" width="10.7109375" style="61" customWidth="1"/>
    <col min="8451" max="8453" width="0" style="61" hidden="1" customWidth="1"/>
    <col min="8454" max="8454" width="16.7109375" style="61" customWidth="1"/>
    <col min="8455" max="8455" width="11.42578125" style="61" customWidth="1"/>
    <col min="8456" max="8698" width="9.140625" style="61"/>
    <col min="8699" max="8699" width="4.140625" style="61" customWidth="1"/>
    <col min="8700" max="8700" width="29" style="61" customWidth="1"/>
    <col min="8701" max="8701" width="15.85546875" style="61" customWidth="1"/>
    <col min="8702" max="8702" width="25.85546875" style="61" customWidth="1"/>
    <col min="8703" max="8703" width="9.42578125" style="61" customWidth="1"/>
    <col min="8704" max="8704" width="18.28515625" style="61" customWidth="1"/>
    <col min="8705" max="8705" width="16.28515625" style="61" customWidth="1"/>
    <col min="8706" max="8706" width="10.7109375" style="61" customWidth="1"/>
    <col min="8707" max="8709" width="0" style="61" hidden="1" customWidth="1"/>
    <col min="8710" max="8710" width="16.7109375" style="61" customWidth="1"/>
    <col min="8711" max="8711" width="11.42578125" style="61" customWidth="1"/>
    <col min="8712" max="8954" width="9.140625" style="61"/>
    <col min="8955" max="8955" width="4.140625" style="61" customWidth="1"/>
    <col min="8956" max="8956" width="29" style="61" customWidth="1"/>
    <col min="8957" max="8957" width="15.85546875" style="61" customWidth="1"/>
    <col min="8958" max="8958" width="25.85546875" style="61" customWidth="1"/>
    <col min="8959" max="8959" width="9.42578125" style="61" customWidth="1"/>
    <col min="8960" max="8960" width="18.28515625" style="61" customWidth="1"/>
    <col min="8961" max="8961" width="16.28515625" style="61" customWidth="1"/>
    <col min="8962" max="8962" width="10.7109375" style="61" customWidth="1"/>
    <col min="8963" max="8965" width="0" style="61" hidden="1" customWidth="1"/>
    <col min="8966" max="8966" width="16.7109375" style="61" customWidth="1"/>
    <col min="8967" max="8967" width="11.42578125" style="61" customWidth="1"/>
    <col min="8968" max="9210" width="9.140625" style="61"/>
    <col min="9211" max="9211" width="4.140625" style="61" customWidth="1"/>
    <col min="9212" max="9212" width="29" style="61" customWidth="1"/>
    <col min="9213" max="9213" width="15.85546875" style="61" customWidth="1"/>
    <col min="9214" max="9214" width="25.85546875" style="61" customWidth="1"/>
    <col min="9215" max="9215" width="9.42578125" style="61" customWidth="1"/>
    <col min="9216" max="9216" width="18.28515625" style="61" customWidth="1"/>
    <col min="9217" max="9217" width="16.28515625" style="61" customWidth="1"/>
    <col min="9218" max="9218" width="10.7109375" style="61" customWidth="1"/>
    <col min="9219" max="9221" width="0" style="61" hidden="1" customWidth="1"/>
    <col min="9222" max="9222" width="16.7109375" style="61" customWidth="1"/>
    <col min="9223" max="9223" width="11.42578125" style="61" customWidth="1"/>
    <col min="9224" max="9466" width="9.140625" style="61"/>
    <col min="9467" max="9467" width="4.140625" style="61" customWidth="1"/>
    <col min="9468" max="9468" width="29" style="61" customWidth="1"/>
    <col min="9469" max="9469" width="15.85546875" style="61" customWidth="1"/>
    <col min="9470" max="9470" width="25.85546875" style="61" customWidth="1"/>
    <col min="9471" max="9471" width="9.42578125" style="61" customWidth="1"/>
    <col min="9472" max="9472" width="18.28515625" style="61" customWidth="1"/>
    <col min="9473" max="9473" width="16.28515625" style="61" customWidth="1"/>
    <col min="9474" max="9474" width="10.7109375" style="61" customWidth="1"/>
    <col min="9475" max="9477" width="0" style="61" hidden="1" customWidth="1"/>
    <col min="9478" max="9478" width="16.7109375" style="61" customWidth="1"/>
    <col min="9479" max="9479" width="11.42578125" style="61" customWidth="1"/>
    <col min="9480" max="9722" width="9.140625" style="61"/>
    <col min="9723" max="9723" width="4.140625" style="61" customWidth="1"/>
    <col min="9724" max="9724" width="29" style="61" customWidth="1"/>
    <col min="9725" max="9725" width="15.85546875" style="61" customWidth="1"/>
    <col min="9726" max="9726" width="25.85546875" style="61" customWidth="1"/>
    <col min="9727" max="9727" width="9.42578125" style="61" customWidth="1"/>
    <col min="9728" max="9728" width="18.28515625" style="61" customWidth="1"/>
    <col min="9729" max="9729" width="16.28515625" style="61" customWidth="1"/>
    <col min="9730" max="9730" width="10.7109375" style="61" customWidth="1"/>
    <col min="9731" max="9733" width="0" style="61" hidden="1" customWidth="1"/>
    <col min="9734" max="9734" width="16.7109375" style="61" customWidth="1"/>
    <col min="9735" max="9735" width="11.42578125" style="61" customWidth="1"/>
    <col min="9736" max="9978" width="9.140625" style="61"/>
    <col min="9979" max="9979" width="4.140625" style="61" customWidth="1"/>
    <col min="9980" max="9980" width="29" style="61" customWidth="1"/>
    <col min="9981" max="9981" width="15.85546875" style="61" customWidth="1"/>
    <col min="9982" max="9982" width="25.85546875" style="61" customWidth="1"/>
    <col min="9983" max="9983" width="9.42578125" style="61" customWidth="1"/>
    <col min="9984" max="9984" width="18.28515625" style="61" customWidth="1"/>
    <col min="9985" max="9985" width="16.28515625" style="61" customWidth="1"/>
    <col min="9986" max="9986" width="10.7109375" style="61" customWidth="1"/>
    <col min="9987" max="9989" width="0" style="61" hidden="1" customWidth="1"/>
    <col min="9990" max="9990" width="16.7109375" style="61" customWidth="1"/>
    <col min="9991" max="9991" width="11.42578125" style="61" customWidth="1"/>
    <col min="9992" max="10234" width="9.140625" style="61"/>
    <col min="10235" max="10235" width="4.140625" style="61" customWidth="1"/>
    <col min="10236" max="10236" width="29" style="61" customWidth="1"/>
    <col min="10237" max="10237" width="15.85546875" style="61" customWidth="1"/>
    <col min="10238" max="10238" width="25.85546875" style="61" customWidth="1"/>
    <col min="10239" max="10239" width="9.42578125" style="61" customWidth="1"/>
    <col min="10240" max="10240" width="18.28515625" style="61" customWidth="1"/>
    <col min="10241" max="10241" width="16.28515625" style="61" customWidth="1"/>
    <col min="10242" max="10242" width="10.7109375" style="61" customWidth="1"/>
    <col min="10243" max="10245" width="0" style="61" hidden="1" customWidth="1"/>
    <col min="10246" max="10246" width="16.7109375" style="61" customWidth="1"/>
    <col min="10247" max="10247" width="11.42578125" style="61" customWidth="1"/>
    <col min="10248" max="10490" width="9.140625" style="61"/>
    <col min="10491" max="10491" width="4.140625" style="61" customWidth="1"/>
    <col min="10492" max="10492" width="29" style="61" customWidth="1"/>
    <col min="10493" max="10493" width="15.85546875" style="61" customWidth="1"/>
    <col min="10494" max="10494" width="25.85546875" style="61" customWidth="1"/>
    <col min="10495" max="10495" width="9.42578125" style="61" customWidth="1"/>
    <col min="10496" max="10496" width="18.28515625" style="61" customWidth="1"/>
    <col min="10497" max="10497" width="16.28515625" style="61" customWidth="1"/>
    <col min="10498" max="10498" width="10.7109375" style="61" customWidth="1"/>
    <col min="10499" max="10501" width="0" style="61" hidden="1" customWidth="1"/>
    <col min="10502" max="10502" width="16.7109375" style="61" customWidth="1"/>
    <col min="10503" max="10503" width="11.42578125" style="61" customWidth="1"/>
    <col min="10504" max="10746" width="9.140625" style="61"/>
    <col min="10747" max="10747" width="4.140625" style="61" customWidth="1"/>
    <col min="10748" max="10748" width="29" style="61" customWidth="1"/>
    <col min="10749" max="10749" width="15.85546875" style="61" customWidth="1"/>
    <col min="10750" max="10750" width="25.85546875" style="61" customWidth="1"/>
    <col min="10751" max="10751" width="9.42578125" style="61" customWidth="1"/>
    <col min="10752" max="10752" width="18.28515625" style="61" customWidth="1"/>
    <col min="10753" max="10753" width="16.28515625" style="61" customWidth="1"/>
    <col min="10754" max="10754" width="10.7109375" style="61" customWidth="1"/>
    <col min="10755" max="10757" width="0" style="61" hidden="1" customWidth="1"/>
    <col min="10758" max="10758" width="16.7109375" style="61" customWidth="1"/>
    <col min="10759" max="10759" width="11.42578125" style="61" customWidth="1"/>
    <col min="10760" max="11002" width="9.140625" style="61"/>
    <col min="11003" max="11003" width="4.140625" style="61" customWidth="1"/>
    <col min="11004" max="11004" width="29" style="61" customWidth="1"/>
    <col min="11005" max="11005" width="15.85546875" style="61" customWidth="1"/>
    <col min="11006" max="11006" width="25.85546875" style="61" customWidth="1"/>
    <col min="11007" max="11007" width="9.42578125" style="61" customWidth="1"/>
    <col min="11008" max="11008" width="18.28515625" style="61" customWidth="1"/>
    <col min="11009" max="11009" width="16.28515625" style="61" customWidth="1"/>
    <col min="11010" max="11010" width="10.7109375" style="61" customWidth="1"/>
    <col min="11011" max="11013" width="0" style="61" hidden="1" customWidth="1"/>
    <col min="11014" max="11014" width="16.7109375" style="61" customWidth="1"/>
    <col min="11015" max="11015" width="11.42578125" style="61" customWidth="1"/>
    <col min="11016" max="11258" width="9.140625" style="61"/>
    <col min="11259" max="11259" width="4.140625" style="61" customWidth="1"/>
    <col min="11260" max="11260" width="29" style="61" customWidth="1"/>
    <col min="11261" max="11261" width="15.85546875" style="61" customWidth="1"/>
    <col min="11262" max="11262" width="25.85546875" style="61" customWidth="1"/>
    <col min="11263" max="11263" width="9.42578125" style="61" customWidth="1"/>
    <col min="11264" max="11264" width="18.28515625" style="61" customWidth="1"/>
    <col min="11265" max="11265" width="16.28515625" style="61" customWidth="1"/>
    <col min="11266" max="11266" width="10.7109375" style="61" customWidth="1"/>
    <col min="11267" max="11269" width="0" style="61" hidden="1" customWidth="1"/>
    <col min="11270" max="11270" width="16.7109375" style="61" customWidth="1"/>
    <col min="11271" max="11271" width="11.42578125" style="61" customWidth="1"/>
    <col min="11272" max="11514" width="9.140625" style="61"/>
    <col min="11515" max="11515" width="4.140625" style="61" customWidth="1"/>
    <col min="11516" max="11516" width="29" style="61" customWidth="1"/>
    <col min="11517" max="11517" width="15.85546875" style="61" customWidth="1"/>
    <col min="11518" max="11518" width="25.85546875" style="61" customWidth="1"/>
    <col min="11519" max="11519" width="9.42578125" style="61" customWidth="1"/>
    <col min="11520" max="11520" width="18.28515625" style="61" customWidth="1"/>
    <col min="11521" max="11521" width="16.28515625" style="61" customWidth="1"/>
    <col min="11522" max="11522" width="10.7109375" style="61" customWidth="1"/>
    <col min="11523" max="11525" width="0" style="61" hidden="1" customWidth="1"/>
    <col min="11526" max="11526" width="16.7109375" style="61" customWidth="1"/>
    <col min="11527" max="11527" width="11.42578125" style="61" customWidth="1"/>
    <col min="11528" max="11770" width="9.140625" style="61"/>
    <col min="11771" max="11771" width="4.140625" style="61" customWidth="1"/>
    <col min="11772" max="11772" width="29" style="61" customWidth="1"/>
    <col min="11773" max="11773" width="15.85546875" style="61" customWidth="1"/>
    <col min="11774" max="11774" width="25.85546875" style="61" customWidth="1"/>
    <col min="11775" max="11775" width="9.42578125" style="61" customWidth="1"/>
    <col min="11776" max="11776" width="18.28515625" style="61" customWidth="1"/>
    <col min="11777" max="11777" width="16.28515625" style="61" customWidth="1"/>
    <col min="11778" max="11778" width="10.7109375" style="61" customWidth="1"/>
    <col min="11779" max="11781" width="0" style="61" hidden="1" customWidth="1"/>
    <col min="11782" max="11782" width="16.7109375" style="61" customWidth="1"/>
    <col min="11783" max="11783" width="11.42578125" style="61" customWidth="1"/>
    <col min="11784" max="12026" width="9.140625" style="61"/>
    <col min="12027" max="12027" width="4.140625" style="61" customWidth="1"/>
    <col min="12028" max="12028" width="29" style="61" customWidth="1"/>
    <col min="12029" max="12029" width="15.85546875" style="61" customWidth="1"/>
    <col min="12030" max="12030" width="25.85546875" style="61" customWidth="1"/>
    <col min="12031" max="12031" width="9.42578125" style="61" customWidth="1"/>
    <col min="12032" max="12032" width="18.28515625" style="61" customWidth="1"/>
    <col min="12033" max="12033" width="16.28515625" style="61" customWidth="1"/>
    <col min="12034" max="12034" width="10.7109375" style="61" customWidth="1"/>
    <col min="12035" max="12037" width="0" style="61" hidden="1" customWidth="1"/>
    <col min="12038" max="12038" width="16.7109375" style="61" customWidth="1"/>
    <col min="12039" max="12039" width="11.42578125" style="61" customWidth="1"/>
    <col min="12040" max="12282" width="9.140625" style="61"/>
    <col min="12283" max="12283" width="4.140625" style="61" customWidth="1"/>
    <col min="12284" max="12284" width="29" style="61" customWidth="1"/>
    <col min="12285" max="12285" width="15.85546875" style="61" customWidth="1"/>
    <col min="12286" max="12286" width="25.85546875" style="61" customWidth="1"/>
    <col min="12287" max="12287" width="9.42578125" style="61" customWidth="1"/>
    <col min="12288" max="12288" width="18.28515625" style="61" customWidth="1"/>
    <col min="12289" max="12289" width="16.28515625" style="61" customWidth="1"/>
    <col min="12290" max="12290" width="10.7109375" style="61" customWidth="1"/>
    <col min="12291" max="12293" width="0" style="61" hidden="1" customWidth="1"/>
    <col min="12294" max="12294" width="16.7109375" style="61" customWidth="1"/>
    <col min="12295" max="12295" width="11.42578125" style="61" customWidth="1"/>
    <col min="12296" max="12538" width="9.140625" style="61"/>
    <col min="12539" max="12539" width="4.140625" style="61" customWidth="1"/>
    <col min="12540" max="12540" width="29" style="61" customWidth="1"/>
    <col min="12541" max="12541" width="15.85546875" style="61" customWidth="1"/>
    <col min="12542" max="12542" width="25.85546875" style="61" customWidth="1"/>
    <col min="12543" max="12543" width="9.42578125" style="61" customWidth="1"/>
    <col min="12544" max="12544" width="18.28515625" style="61" customWidth="1"/>
    <col min="12545" max="12545" width="16.28515625" style="61" customWidth="1"/>
    <col min="12546" max="12546" width="10.7109375" style="61" customWidth="1"/>
    <col min="12547" max="12549" width="0" style="61" hidden="1" customWidth="1"/>
    <col min="12550" max="12550" width="16.7109375" style="61" customWidth="1"/>
    <col min="12551" max="12551" width="11.42578125" style="61" customWidth="1"/>
    <col min="12552" max="12794" width="9.140625" style="61"/>
    <col min="12795" max="12795" width="4.140625" style="61" customWidth="1"/>
    <col min="12796" max="12796" width="29" style="61" customWidth="1"/>
    <col min="12797" max="12797" width="15.85546875" style="61" customWidth="1"/>
    <col min="12798" max="12798" width="25.85546875" style="61" customWidth="1"/>
    <col min="12799" max="12799" width="9.42578125" style="61" customWidth="1"/>
    <col min="12800" max="12800" width="18.28515625" style="61" customWidth="1"/>
    <col min="12801" max="12801" width="16.28515625" style="61" customWidth="1"/>
    <col min="12802" max="12802" width="10.7109375" style="61" customWidth="1"/>
    <col min="12803" max="12805" width="0" style="61" hidden="1" customWidth="1"/>
    <col min="12806" max="12806" width="16.7109375" style="61" customWidth="1"/>
    <col min="12807" max="12807" width="11.42578125" style="61" customWidth="1"/>
    <col min="12808" max="13050" width="9.140625" style="61"/>
    <col min="13051" max="13051" width="4.140625" style="61" customWidth="1"/>
    <col min="13052" max="13052" width="29" style="61" customWidth="1"/>
    <col min="13053" max="13053" width="15.85546875" style="61" customWidth="1"/>
    <col min="13054" max="13054" width="25.85546875" style="61" customWidth="1"/>
    <col min="13055" max="13055" width="9.42578125" style="61" customWidth="1"/>
    <col min="13056" max="13056" width="18.28515625" style="61" customWidth="1"/>
    <col min="13057" max="13057" width="16.28515625" style="61" customWidth="1"/>
    <col min="13058" max="13058" width="10.7109375" style="61" customWidth="1"/>
    <col min="13059" max="13061" width="0" style="61" hidden="1" customWidth="1"/>
    <col min="13062" max="13062" width="16.7109375" style="61" customWidth="1"/>
    <col min="13063" max="13063" width="11.42578125" style="61" customWidth="1"/>
    <col min="13064" max="13306" width="9.140625" style="61"/>
    <col min="13307" max="13307" width="4.140625" style="61" customWidth="1"/>
    <col min="13308" max="13308" width="29" style="61" customWidth="1"/>
    <col min="13309" max="13309" width="15.85546875" style="61" customWidth="1"/>
    <col min="13310" max="13310" width="25.85546875" style="61" customWidth="1"/>
    <col min="13311" max="13311" width="9.42578125" style="61" customWidth="1"/>
    <col min="13312" max="13312" width="18.28515625" style="61" customWidth="1"/>
    <col min="13313" max="13313" width="16.28515625" style="61" customWidth="1"/>
    <col min="13314" max="13314" width="10.7109375" style="61" customWidth="1"/>
    <col min="13315" max="13317" width="0" style="61" hidden="1" customWidth="1"/>
    <col min="13318" max="13318" width="16.7109375" style="61" customWidth="1"/>
    <col min="13319" max="13319" width="11.42578125" style="61" customWidth="1"/>
    <col min="13320" max="13562" width="9.140625" style="61"/>
    <col min="13563" max="13563" width="4.140625" style="61" customWidth="1"/>
    <col min="13564" max="13564" width="29" style="61" customWidth="1"/>
    <col min="13565" max="13565" width="15.85546875" style="61" customWidth="1"/>
    <col min="13566" max="13566" width="25.85546875" style="61" customWidth="1"/>
    <col min="13567" max="13567" width="9.42578125" style="61" customWidth="1"/>
    <col min="13568" max="13568" width="18.28515625" style="61" customWidth="1"/>
    <col min="13569" max="13569" width="16.28515625" style="61" customWidth="1"/>
    <col min="13570" max="13570" width="10.7109375" style="61" customWidth="1"/>
    <col min="13571" max="13573" width="0" style="61" hidden="1" customWidth="1"/>
    <col min="13574" max="13574" width="16.7109375" style="61" customWidth="1"/>
    <col min="13575" max="13575" width="11.42578125" style="61" customWidth="1"/>
    <col min="13576" max="13818" width="9.140625" style="61"/>
    <col min="13819" max="13819" width="4.140625" style="61" customWidth="1"/>
    <col min="13820" max="13820" width="29" style="61" customWidth="1"/>
    <col min="13821" max="13821" width="15.85546875" style="61" customWidth="1"/>
    <col min="13822" max="13822" width="25.85546875" style="61" customWidth="1"/>
    <col min="13823" max="13823" width="9.42578125" style="61" customWidth="1"/>
    <col min="13824" max="13824" width="18.28515625" style="61" customWidth="1"/>
    <col min="13825" max="13825" width="16.28515625" style="61" customWidth="1"/>
    <col min="13826" max="13826" width="10.7109375" style="61" customWidth="1"/>
    <col min="13827" max="13829" width="0" style="61" hidden="1" customWidth="1"/>
    <col min="13830" max="13830" width="16.7109375" style="61" customWidth="1"/>
    <col min="13831" max="13831" width="11.42578125" style="61" customWidth="1"/>
    <col min="13832" max="14074" width="9.140625" style="61"/>
    <col min="14075" max="14075" width="4.140625" style="61" customWidth="1"/>
    <col min="14076" max="14076" width="29" style="61" customWidth="1"/>
    <col min="14077" max="14077" width="15.85546875" style="61" customWidth="1"/>
    <col min="14078" max="14078" width="25.85546875" style="61" customWidth="1"/>
    <col min="14079" max="14079" width="9.42578125" style="61" customWidth="1"/>
    <col min="14080" max="14080" width="18.28515625" style="61" customWidth="1"/>
    <col min="14081" max="14081" width="16.28515625" style="61" customWidth="1"/>
    <col min="14082" max="14082" width="10.7109375" style="61" customWidth="1"/>
    <col min="14083" max="14085" width="0" style="61" hidden="1" customWidth="1"/>
    <col min="14086" max="14086" width="16.7109375" style="61" customWidth="1"/>
    <col min="14087" max="14087" width="11.42578125" style="61" customWidth="1"/>
    <col min="14088" max="14330" width="9.140625" style="61"/>
    <col min="14331" max="14331" width="4.140625" style="61" customWidth="1"/>
    <col min="14332" max="14332" width="29" style="61" customWidth="1"/>
    <col min="14333" max="14333" width="15.85546875" style="61" customWidth="1"/>
    <col min="14334" max="14334" width="25.85546875" style="61" customWidth="1"/>
    <col min="14335" max="14335" width="9.42578125" style="61" customWidth="1"/>
    <col min="14336" max="14336" width="18.28515625" style="61" customWidth="1"/>
    <col min="14337" max="14337" width="16.28515625" style="61" customWidth="1"/>
    <col min="14338" max="14338" width="10.7109375" style="61" customWidth="1"/>
    <col min="14339" max="14341" width="0" style="61" hidden="1" customWidth="1"/>
    <col min="14342" max="14342" width="16.7109375" style="61" customWidth="1"/>
    <col min="14343" max="14343" width="11.42578125" style="61" customWidth="1"/>
    <col min="14344" max="14586" width="9.140625" style="61"/>
    <col min="14587" max="14587" width="4.140625" style="61" customWidth="1"/>
    <col min="14588" max="14588" width="29" style="61" customWidth="1"/>
    <col min="14589" max="14589" width="15.85546875" style="61" customWidth="1"/>
    <col min="14590" max="14590" width="25.85546875" style="61" customWidth="1"/>
    <col min="14591" max="14591" width="9.42578125" style="61" customWidth="1"/>
    <col min="14592" max="14592" width="18.28515625" style="61" customWidth="1"/>
    <col min="14593" max="14593" width="16.28515625" style="61" customWidth="1"/>
    <col min="14594" max="14594" width="10.7109375" style="61" customWidth="1"/>
    <col min="14595" max="14597" width="0" style="61" hidden="1" customWidth="1"/>
    <col min="14598" max="14598" width="16.7109375" style="61" customWidth="1"/>
    <col min="14599" max="14599" width="11.42578125" style="61" customWidth="1"/>
    <col min="14600" max="14842" width="9.140625" style="61"/>
    <col min="14843" max="14843" width="4.140625" style="61" customWidth="1"/>
    <col min="14844" max="14844" width="29" style="61" customWidth="1"/>
    <col min="14845" max="14845" width="15.85546875" style="61" customWidth="1"/>
    <col min="14846" max="14846" width="25.85546875" style="61" customWidth="1"/>
    <col min="14847" max="14847" width="9.42578125" style="61" customWidth="1"/>
    <col min="14848" max="14848" width="18.28515625" style="61" customWidth="1"/>
    <col min="14849" max="14849" width="16.28515625" style="61" customWidth="1"/>
    <col min="14850" max="14850" width="10.7109375" style="61" customWidth="1"/>
    <col min="14851" max="14853" width="0" style="61" hidden="1" customWidth="1"/>
    <col min="14854" max="14854" width="16.7109375" style="61" customWidth="1"/>
    <col min="14855" max="14855" width="11.42578125" style="61" customWidth="1"/>
    <col min="14856" max="15098" width="9.140625" style="61"/>
    <col min="15099" max="15099" width="4.140625" style="61" customWidth="1"/>
    <col min="15100" max="15100" width="29" style="61" customWidth="1"/>
    <col min="15101" max="15101" width="15.85546875" style="61" customWidth="1"/>
    <col min="15102" max="15102" width="25.85546875" style="61" customWidth="1"/>
    <col min="15103" max="15103" width="9.42578125" style="61" customWidth="1"/>
    <col min="15104" max="15104" width="18.28515625" style="61" customWidth="1"/>
    <col min="15105" max="15105" width="16.28515625" style="61" customWidth="1"/>
    <col min="15106" max="15106" width="10.7109375" style="61" customWidth="1"/>
    <col min="15107" max="15109" width="0" style="61" hidden="1" customWidth="1"/>
    <col min="15110" max="15110" width="16.7109375" style="61" customWidth="1"/>
    <col min="15111" max="15111" width="11.42578125" style="61" customWidth="1"/>
    <col min="15112" max="15354" width="9.140625" style="61"/>
    <col min="15355" max="15355" width="4.140625" style="61" customWidth="1"/>
    <col min="15356" max="15356" width="29" style="61" customWidth="1"/>
    <col min="15357" max="15357" width="15.85546875" style="61" customWidth="1"/>
    <col min="15358" max="15358" width="25.85546875" style="61" customWidth="1"/>
    <col min="15359" max="15359" width="9.42578125" style="61" customWidth="1"/>
    <col min="15360" max="15360" width="18.28515625" style="61" customWidth="1"/>
    <col min="15361" max="15361" width="16.28515625" style="61" customWidth="1"/>
    <col min="15362" max="15362" width="10.7109375" style="61" customWidth="1"/>
    <col min="15363" max="15365" width="0" style="61" hidden="1" customWidth="1"/>
    <col min="15366" max="15366" width="16.7109375" style="61" customWidth="1"/>
    <col min="15367" max="15367" width="11.42578125" style="61" customWidth="1"/>
    <col min="15368" max="15610" width="9.140625" style="61"/>
    <col min="15611" max="15611" width="4.140625" style="61" customWidth="1"/>
    <col min="15612" max="15612" width="29" style="61" customWidth="1"/>
    <col min="15613" max="15613" width="15.85546875" style="61" customWidth="1"/>
    <col min="15614" max="15614" width="25.85546875" style="61" customWidth="1"/>
    <col min="15615" max="15615" width="9.42578125" style="61" customWidth="1"/>
    <col min="15616" max="15616" width="18.28515625" style="61" customWidth="1"/>
    <col min="15617" max="15617" width="16.28515625" style="61" customWidth="1"/>
    <col min="15618" max="15618" width="10.7109375" style="61" customWidth="1"/>
    <col min="15619" max="15621" width="0" style="61" hidden="1" customWidth="1"/>
    <col min="15622" max="15622" width="16.7109375" style="61" customWidth="1"/>
    <col min="15623" max="15623" width="11.42578125" style="61" customWidth="1"/>
    <col min="15624" max="15866" width="9.140625" style="61"/>
    <col min="15867" max="15867" width="4.140625" style="61" customWidth="1"/>
    <col min="15868" max="15868" width="29" style="61" customWidth="1"/>
    <col min="15869" max="15869" width="15.85546875" style="61" customWidth="1"/>
    <col min="15870" max="15870" width="25.85546875" style="61" customWidth="1"/>
    <col min="15871" max="15871" width="9.42578125" style="61" customWidth="1"/>
    <col min="15872" max="15872" width="18.28515625" style="61" customWidth="1"/>
    <col min="15873" max="15873" width="16.28515625" style="61" customWidth="1"/>
    <col min="15874" max="15874" width="10.7109375" style="61" customWidth="1"/>
    <col min="15875" max="15877" width="0" style="61" hidden="1" customWidth="1"/>
    <col min="15878" max="15878" width="16.7109375" style="61" customWidth="1"/>
    <col min="15879" max="15879" width="11.42578125" style="61" customWidth="1"/>
    <col min="15880" max="16122" width="9.140625" style="61"/>
    <col min="16123" max="16123" width="4.140625" style="61" customWidth="1"/>
    <col min="16124" max="16124" width="29" style="61" customWidth="1"/>
    <col min="16125" max="16125" width="15.85546875" style="61" customWidth="1"/>
    <col min="16126" max="16126" width="25.85546875" style="61" customWidth="1"/>
    <col min="16127" max="16127" width="9.42578125" style="61" customWidth="1"/>
    <col min="16128" max="16128" width="18.28515625" style="61" customWidth="1"/>
    <col min="16129" max="16129" width="16.28515625" style="61" customWidth="1"/>
    <col min="16130" max="16130" width="10.7109375" style="61" customWidth="1"/>
    <col min="16131" max="16133" width="0" style="61" hidden="1" customWidth="1"/>
    <col min="16134" max="16134" width="16.7109375" style="61" customWidth="1"/>
    <col min="16135" max="16135" width="11.42578125" style="61" customWidth="1"/>
    <col min="16136" max="16384" width="9.140625" style="61"/>
  </cols>
  <sheetData>
    <row r="1" spans="1:250" ht="14.25" x14ac:dyDescent="0.2">
      <c r="I1" s="251" t="s">
        <v>168</v>
      </c>
    </row>
    <row r="2" spans="1:250" s="66" customFormat="1" ht="19.5" customHeight="1" x14ac:dyDescent="0.2">
      <c r="A2" s="114"/>
      <c r="B2" s="114"/>
      <c r="C2" s="114"/>
      <c r="D2" s="114"/>
      <c r="N2" s="241"/>
      <c r="O2" s="241"/>
    </row>
    <row r="3" spans="1:250" s="66" customFormat="1" ht="19.5" hidden="1" customHeight="1" x14ac:dyDescent="0.2">
      <c r="A3" s="114"/>
      <c r="B3" s="114"/>
      <c r="C3" s="114"/>
      <c r="D3" s="114"/>
      <c r="E3" s="228"/>
      <c r="G3" s="228"/>
      <c r="H3" s="61"/>
      <c r="I3" s="206" t="s">
        <v>168</v>
      </c>
      <c r="J3" s="61"/>
      <c r="K3" s="61"/>
      <c r="L3" s="205"/>
      <c r="M3" s="61"/>
      <c r="N3" s="241"/>
      <c r="O3" s="241"/>
    </row>
    <row r="4" spans="1:250" s="66" customFormat="1" ht="19.5" hidden="1" customHeight="1" x14ac:dyDescent="0.2">
      <c r="A4" s="114"/>
      <c r="B4" s="114"/>
      <c r="C4" s="114"/>
      <c r="D4" s="114"/>
      <c r="E4" s="228"/>
      <c r="G4" s="228"/>
      <c r="H4" s="160"/>
      <c r="I4" s="248" t="s">
        <v>169</v>
      </c>
      <c r="J4" s="249"/>
      <c r="K4" s="249"/>
      <c r="L4" s="250"/>
      <c r="M4" s="242" t="s">
        <v>170</v>
      </c>
      <c r="N4" s="241"/>
      <c r="O4" s="241"/>
    </row>
    <row r="5" spans="1:250" s="66" customFormat="1" ht="19.5" customHeight="1" x14ac:dyDescent="0.2">
      <c r="D5" s="89"/>
      <c r="H5" s="160"/>
      <c r="I5" s="243" t="s">
        <v>171</v>
      </c>
      <c r="J5" s="243" t="s">
        <v>172</v>
      </c>
      <c r="K5" s="243" t="s">
        <v>173</v>
      </c>
      <c r="L5" s="244" t="s">
        <v>174</v>
      </c>
      <c r="M5" s="245"/>
      <c r="N5" s="241"/>
      <c r="O5" s="241"/>
    </row>
    <row r="6" spans="1:250" s="66" customFormat="1" ht="19.5" customHeight="1" x14ac:dyDescent="0.2">
      <c r="D6" s="89"/>
      <c r="E6" s="228"/>
      <c r="G6" s="229"/>
      <c r="H6" s="207" t="s">
        <v>175</v>
      </c>
      <c r="I6" s="204">
        <v>0.01</v>
      </c>
      <c r="J6" s="204">
        <v>0.15</v>
      </c>
      <c r="K6" s="204">
        <v>1.5</v>
      </c>
      <c r="L6" s="208">
        <f>J6-(J6-J7)*(M16-I6)/(I7-I6)</f>
        <v>-2.6937701199999999</v>
      </c>
      <c r="N6" s="241"/>
      <c r="O6" s="241"/>
    </row>
    <row r="7" spans="1:250" ht="20.25" customHeight="1" x14ac:dyDescent="0.2">
      <c r="A7" s="758" t="s">
        <v>279</v>
      </c>
      <c r="B7" s="758"/>
      <c r="C7" s="758"/>
      <c r="D7" s="758"/>
      <c r="E7" s="758"/>
      <c r="F7" s="758"/>
      <c r="G7" s="758"/>
      <c r="H7" s="160"/>
      <c r="I7" s="204">
        <v>0.05</v>
      </c>
      <c r="J7" s="204">
        <v>0.11</v>
      </c>
      <c r="K7" s="204">
        <v>5.5</v>
      </c>
      <c r="L7" s="208">
        <f>J7-(J7-J8)*(M16-I7)/(I8-I7)</f>
        <v>-1.2918850599999998</v>
      </c>
      <c r="M7" s="209"/>
      <c r="N7" s="209"/>
      <c r="O7" s="241"/>
    </row>
    <row r="8" spans="1:250" s="194" customFormat="1" ht="13.5" x14ac:dyDescent="0.2">
      <c r="A8" s="845"/>
      <c r="B8" s="845"/>
      <c r="C8" s="845"/>
      <c r="D8" s="845"/>
      <c r="E8" s="845"/>
      <c r="F8" s="845"/>
      <c r="G8" s="845"/>
      <c r="H8" s="160"/>
      <c r="I8" s="204">
        <v>0.1</v>
      </c>
      <c r="J8" s="204">
        <v>8.5000000000000006E-2</v>
      </c>
      <c r="K8" s="204">
        <v>8.5</v>
      </c>
      <c r="L8" s="208">
        <f>J8-(J8-J9)*(M16-I8)/(I9-I8)</f>
        <v>-0.4657540240000006</v>
      </c>
      <c r="M8" s="209"/>
      <c r="N8" s="209"/>
      <c r="O8" s="241"/>
    </row>
    <row r="9" spans="1:250" s="194" customFormat="1" ht="80.25" customHeight="1" x14ac:dyDescent="0.2">
      <c r="A9" s="846" t="str">
        <f>'С С Р'!A6:G6</f>
        <v xml:space="preserve"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комплексной застройки, расположенных по адресу: 
г. Москва, Золоторожский Вал, вл. 11. </v>
      </c>
      <c r="B9" s="846"/>
      <c r="C9" s="846"/>
      <c r="D9" s="846"/>
      <c r="E9" s="846"/>
      <c r="F9" s="846"/>
      <c r="G9" s="846"/>
      <c r="H9" s="160"/>
      <c r="I9" s="204">
        <v>0.15</v>
      </c>
      <c r="J9" s="204">
        <v>7.4999999999999997E-2</v>
      </c>
      <c r="K9" s="204">
        <v>11.25</v>
      </c>
      <c r="L9" s="208">
        <f>J9-(J9-J10)*(M16-I9)/(I10-I9)</f>
        <v>-0.35760321919999954</v>
      </c>
      <c r="M9" s="209"/>
      <c r="N9" s="209"/>
      <c r="O9" s="241"/>
    </row>
    <row r="10" spans="1:250" s="66" customFormat="1" ht="17.25" customHeight="1" thickBot="1" x14ac:dyDescent="0.25">
      <c r="A10" s="851" t="s">
        <v>304</v>
      </c>
      <c r="B10" s="851"/>
      <c r="C10" s="851"/>
      <c r="D10" s="851"/>
      <c r="E10" s="851"/>
      <c r="F10" s="851"/>
      <c r="G10" s="851"/>
      <c r="H10" s="160"/>
      <c r="I10" s="204">
        <v>0.2</v>
      </c>
      <c r="J10" s="204">
        <v>6.7000000000000004E-2</v>
      </c>
      <c r="K10" s="204">
        <v>13.4</v>
      </c>
      <c r="L10" s="208">
        <f>J10-(J10-J11)*(M16-I10)/(I11-I10)</f>
        <v>-0.41067862160000013</v>
      </c>
      <c r="M10" s="209"/>
      <c r="N10" s="209"/>
      <c r="O10" s="241"/>
    </row>
    <row r="11" spans="1:250" s="194" customFormat="1" ht="43.5" customHeight="1" thickBot="1" x14ac:dyDescent="0.25">
      <c r="A11" s="847" t="s">
        <v>180</v>
      </c>
      <c r="B11" s="848"/>
      <c r="C11" s="848"/>
      <c r="D11" s="848"/>
      <c r="E11" s="848"/>
      <c r="F11" s="848"/>
      <c r="G11" s="849"/>
      <c r="H11" s="160"/>
      <c r="I11" s="204">
        <v>0.25</v>
      </c>
      <c r="J11" s="204">
        <v>5.8000000000000003E-2</v>
      </c>
      <c r="K11" s="204">
        <v>14.5</v>
      </c>
      <c r="L11" s="208">
        <f>J11-(J11-J12)*(M16-I11)/(I12-I11)</f>
        <v>-4.6150804800000118E-2</v>
      </c>
      <c r="M11" s="209"/>
      <c r="N11" s="209"/>
      <c r="O11" s="241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0"/>
      <c r="BP11" s="180"/>
      <c r="BQ11" s="180"/>
      <c r="BR11" s="180"/>
      <c r="BS11" s="180"/>
      <c r="BT11" s="180"/>
      <c r="BU11" s="180"/>
      <c r="BV11" s="180"/>
      <c r="BW11" s="180"/>
      <c r="BX11" s="180"/>
      <c r="BY11" s="180"/>
      <c r="BZ11" s="180"/>
      <c r="CA11" s="180"/>
      <c r="CB11" s="180"/>
      <c r="CC11" s="180"/>
      <c r="CD11" s="180"/>
      <c r="CE11" s="180"/>
      <c r="CF11" s="180"/>
      <c r="CG11" s="180"/>
      <c r="CH11" s="180"/>
      <c r="CI11" s="180"/>
      <c r="CJ11" s="180"/>
      <c r="CK11" s="180"/>
      <c r="CL11" s="180"/>
      <c r="CM11" s="180"/>
      <c r="CN11" s="180"/>
      <c r="CO11" s="180"/>
      <c r="CP11" s="180"/>
      <c r="CQ11" s="180"/>
      <c r="CR11" s="180"/>
      <c r="CS11" s="180"/>
      <c r="CT11" s="180"/>
      <c r="CU11" s="180"/>
      <c r="CV11" s="180"/>
      <c r="CW11" s="180"/>
      <c r="CX11" s="180"/>
      <c r="CY11" s="180"/>
      <c r="CZ11" s="180"/>
      <c r="DA11" s="180"/>
      <c r="DB11" s="180"/>
      <c r="DC11" s="180"/>
      <c r="DD11" s="180"/>
      <c r="DE11" s="180"/>
      <c r="DF11" s="180"/>
      <c r="DG11" s="180"/>
      <c r="DH11" s="180"/>
      <c r="DI11" s="180"/>
      <c r="DJ11" s="180"/>
      <c r="DK11" s="180"/>
      <c r="DL11" s="180"/>
      <c r="DM11" s="180"/>
      <c r="DN11" s="180"/>
      <c r="DO11" s="180"/>
      <c r="DP11" s="180"/>
      <c r="DQ11" s="180"/>
      <c r="DR11" s="180"/>
      <c r="DS11" s="180"/>
      <c r="DT11" s="180"/>
      <c r="DU11" s="180"/>
      <c r="DV11" s="180"/>
      <c r="DW11" s="180"/>
      <c r="DX11" s="180"/>
      <c r="DY11" s="180"/>
      <c r="DZ11" s="180"/>
      <c r="EA11" s="180"/>
      <c r="EB11" s="180"/>
      <c r="EC11" s="180"/>
      <c r="ED11" s="180"/>
      <c r="EE11" s="180"/>
      <c r="EF11" s="180"/>
      <c r="EG11" s="180"/>
      <c r="EH11" s="180"/>
      <c r="EI11" s="180"/>
      <c r="EJ11" s="180"/>
      <c r="EK11" s="180"/>
      <c r="EL11" s="180"/>
      <c r="EM11" s="180"/>
      <c r="EN11" s="180"/>
      <c r="EO11" s="180"/>
      <c r="EP11" s="180"/>
      <c r="EQ11" s="180"/>
      <c r="ER11" s="180"/>
      <c r="ES11" s="180"/>
      <c r="ET11" s="180"/>
      <c r="EU11" s="180"/>
      <c r="EV11" s="180"/>
      <c r="EW11" s="180"/>
      <c r="EX11" s="180"/>
      <c r="EY11" s="180"/>
      <c r="EZ11" s="180"/>
      <c r="FA11" s="180"/>
      <c r="FB11" s="180"/>
      <c r="FC11" s="180"/>
      <c r="FD11" s="180"/>
      <c r="FE11" s="180"/>
      <c r="FF11" s="180"/>
      <c r="FG11" s="180"/>
      <c r="FH11" s="180"/>
      <c r="FI11" s="180"/>
      <c r="FJ11" s="180"/>
      <c r="FK11" s="180"/>
      <c r="FL11" s="180"/>
      <c r="FM11" s="180"/>
      <c r="FN11" s="180"/>
      <c r="FO11" s="180"/>
      <c r="FP11" s="180"/>
      <c r="FQ11" s="180"/>
      <c r="FR11" s="180"/>
      <c r="FS11" s="180"/>
      <c r="FT11" s="180"/>
      <c r="FU11" s="180"/>
      <c r="FV11" s="180"/>
      <c r="FW11" s="180"/>
      <c r="FX11" s="180"/>
      <c r="FY11" s="180"/>
      <c r="FZ11" s="180"/>
      <c r="GA11" s="180"/>
      <c r="GB11" s="180"/>
      <c r="GC11" s="180"/>
      <c r="GD11" s="180"/>
      <c r="GE11" s="180"/>
      <c r="GF11" s="180"/>
      <c r="GG11" s="180"/>
      <c r="GH11" s="180"/>
      <c r="GI11" s="180"/>
      <c r="GJ11" s="180"/>
      <c r="GK11" s="180"/>
      <c r="GL11" s="180"/>
      <c r="GM11" s="180"/>
      <c r="GN11" s="180"/>
      <c r="GO11" s="180"/>
      <c r="GP11" s="180"/>
      <c r="GQ11" s="180"/>
      <c r="GR11" s="180"/>
      <c r="GS11" s="180"/>
      <c r="GT11" s="180"/>
      <c r="GU11" s="180"/>
      <c r="GV11" s="180"/>
      <c r="GW11" s="180"/>
      <c r="GX11" s="180"/>
      <c r="GY11" s="180"/>
      <c r="GZ11" s="180"/>
      <c r="HA11" s="180"/>
      <c r="HB11" s="180"/>
      <c r="HC11" s="180"/>
      <c r="HD11" s="180"/>
      <c r="HE11" s="180"/>
      <c r="HF11" s="180"/>
      <c r="HG11" s="180"/>
      <c r="HH11" s="180"/>
      <c r="HI11" s="180"/>
      <c r="HJ11" s="180"/>
      <c r="HK11" s="180"/>
      <c r="HL11" s="180"/>
      <c r="HM11" s="180"/>
      <c r="HN11" s="180"/>
      <c r="HO11" s="180"/>
      <c r="HP11" s="180"/>
      <c r="HQ11" s="180"/>
      <c r="HR11" s="180"/>
      <c r="HS11" s="180"/>
      <c r="HT11" s="180"/>
      <c r="HU11" s="180"/>
      <c r="HV11" s="180"/>
      <c r="HW11" s="180"/>
      <c r="HX11" s="180"/>
      <c r="HY11" s="180"/>
      <c r="HZ11" s="180"/>
      <c r="IA11" s="180"/>
      <c r="IB11" s="180"/>
      <c r="IC11" s="180"/>
      <c r="ID11" s="180"/>
      <c r="IE11" s="180"/>
      <c r="IF11" s="180"/>
      <c r="IG11" s="180"/>
      <c r="IH11" s="180"/>
      <c r="II11" s="180"/>
      <c r="IJ11" s="180"/>
      <c r="IK11" s="180"/>
      <c r="IL11" s="180"/>
      <c r="IM11" s="180"/>
      <c r="IN11" s="180"/>
      <c r="IO11" s="180"/>
      <c r="IP11" s="180"/>
    </row>
    <row r="12" spans="1:250" ht="26.25" thickBot="1" x14ac:dyDescent="0.25">
      <c r="A12" s="225" t="s">
        <v>156</v>
      </c>
      <c r="B12" s="210" t="s">
        <v>157</v>
      </c>
      <c r="C12" s="211" t="s">
        <v>8</v>
      </c>
      <c r="D12" s="210" t="s">
        <v>3</v>
      </c>
      <c r="E12" s="212" t="s">
        <v>158</v>
      </c>
      <c r="F12" s="213" t="s">
        <v>0</v>
      </c>
      <c r="G12" s="198" t="s">
        <v>5</v>
      </c>
      <c r="H12" s="160"/>
      <c r="I12" s="204">
        <v>0.3</v>
      </c>
      <c r="J12" s="204">
        <v>5.6000000000000001E-2</v>
      </c>
      <c r="K12" s="204">
        <v>16.8</v>
      </c>
      <c r="L12" s="208">
        <f>J12-(J12-J13)*(M16-I12)/(I13-I12)</f>
        <v>-0.19937701200000002</v>
      </c>
      <c r="M12" s="209"/>
      <c r="N12" s="209"/>
      <c r="O12" s="241"/>
    </row>
    <row r="13" spans="1:250" ht="14.25" thickBot="1" x14ac:dyDescent="0.25">
      <c r="A13" s="225"/>
      <c r="B13" s="214"/>
      <c r="C13" s="195"/>
      <c r="D13" s="226"/>
      <c r="E13" s="196"/>
      <c r="F13" s="197"/>
      <c r="G13" s="198"/>
      <c r="H13" s="160"/>
      <c r="I13" s="204">
        <v>0.4</v>
      </c>
      <c r="J13" s="204">
        <v>4.5999999999999999E-2</v>
      </c>
      <c r="K13" s="204">
        <v>18.399999999999999</v>
      </c>
      <c r="L13" s="208">
        <f>J13-(J13-J14)*(M16-I13)/(I14-I13)</f>
        <v>-0.12576390840000001</v>
      </c>
      <c r="M13" s="209"/>
      <c r="N13" s="209"/>
      <c r="O13" s="241"/>
    </row>
    <row r="14" spans="1:250" s="5" customFormat="1" ht="39" thickBot="1" x14ac:dyDescent="0.25">
      <c r="A14" s="199">
        <v>1</v>
      </c>
      <c r="B14" s="215" t="s">
        <v>159</v>
      </c>
      <c r="C14" s="563">
        <f>Т.с.!I280+'ООС+Тр'!H61</f>
        <v>4423343.6899999995</v>
      </c>
      <c r="D14" s="227"/>
      <c r="E14" s="216"/>
      <c r="F14" s="217"/>
      <c r="G14" s="218"/>
      <c r="H14" s="562"/>
      <c r="I14" s="204">
        <v>0.5</v>
      </c>
      <c r="J14" s="204">
        <v>3.9E-2</v>
      </c>
      <c r="K14" s="204">
        <v>19.5</v>
      </c>
      <c r="L14" s="208">
        <f>J14-(J14-J16)*(M16-I14)/(I16-I14)</f>
        <v>-5.5150804799999946E-2</v>
      </c>
      <c r="M14" s="209"/>
      <c r="N14" s="209"/>
      <c r="O14" s="241"/>
    </row>
    <row r="15" spans="1:250" s="5" customFormat="1" ht="30.75" hidden="1" customHeight="1" thickBot="1" x14ac:dyDescent="0.25">
      <c r="A15" s="200"/>
      <c r="B15" s="843" t="s">
        <v>160</v>
      </c>
      <c r="C15" s="850"/>
      <c r="D15" s="219" t="s">
        <v>161</v>
      </c>
      <c r="E15" s="216">
        <v>1</v>
      </c>
      <c r="F15" s="217" t="s">
        <v>166</v>
      </c>
      <c r="G15" s="218">
        <v>287966.15000000002</v>
      </c>
      <c r="M15" s="209"/>
      <c r="N15" s="209"/>
      <c r="O15" s="241"/>
    </row>
    <row r="16" spans="1:250" s="5" customFormat="1" ht="39" thickBot="1" x14ac:dyDescent="0.25">
      <c r="A16" s="200"/>
      <c r="B16" s="843" t="s">
        <v>162</v>
      </c>
      <c r="C16" s="844"/>
      <c r="D16" s="224" t="s">
        <v>163</v>
      </c>
      <c r="E16" s="230">
        <v>1.55</v>
      </c>
      <c r="F16" s="230" t="str">
        <f>CONCATENATE(C14,"/",1.55)</f>
        <v>4423343,69/1,55</v>
      </c>
      <c r="G16" s="220">
        <f>ROUND(C14/1.55,2)</f>
        <v>2853770.12</v>
      </c>
      <c r="H16" s="160"/>
      <c r="I16" s="204">
        <v>0.6</v>
      </c>
      <c r="J16" s="204">
        <v>3.5000000000000003E-2</v>
      </c>
      <c r="K16" s="204">
        <v>21</v>
      </c>
      <c r="L16" s="208">
        <f>J16-(J16-J17)*(M16-I16)/(I17-I16)</f>
        <v>-5.5150804800000106E-2</v>
      </c>
      <c r="M16" s="246">
        <f>G16/1000000</f>
        <v>2.8537701200000001</v>
      </c>
      <c r="N16" s="209"/>
      <c r="O16" s="241"/>
    </row>
    <row r="17" spans="1:15" s="5" customFormat="1" ht="26.25" thickBot="1" x14ac:dyDescent="0.25">
      <c r="A17" s="200"/>
      <c r="B17" s="843" t="s">
        <v>164</v>
      </c>
      <c r="C17" s="844"/>
      <c r="D17" s="71" t="s">
        <v>181</v>
      </c>
      <c r="E17" s="221">
        <f>ROUND(L26,4)</f>
        <v>1.9E-2</v>
      </c>
      <c r="F17" s="71" t="str">
        <f>CONCATENATE(G16,"*",E17,"*",1.55)</f>
        <v>2853770,12*0,019*1,55</v>
      </c>
      <c r="G17" s="222">
        <f>ROUND(G16*E17*1.55,2)</f>
        <v>84043.53</v>
      </c>
      <c r="H17" s="160"/>
      <c r="I17" s="204">
        <v>0.7</v>
      </c>
      <c r="J17" s="204">
        <v>3.1E-2</v>
      </c>
      <c r="K17" s="204">
        <v>21.7</v>
      </c>
      <c r="L17" s="208">
        <f>J17-(J17-J18)*(M16-I17)/(I18-I17)</f>
        <v>-1.2075402399999921E-2</v>
      </c>
      <c r="M17" s="209"/>
      <c r="N17" s="209"/>
      <c r="O17" s="241"/>
    </row>
    <row r="18" spans="1:15" ht="13.5" x14ac:dyDescent="0.2">
      <c r="H18" s="160"/>
      <c r="I18" s="204">
        <v>0.8</v>
      </c>
      <c r="J18" s="204">
        <v>2.9000000000000001E-2</v>
      </c>
      <c r="K18" s="204">
        <v>23.2</v>
      </c>
      <c r="L18" s="208">
        <f>J18-(J18-J19)*(M16-I18)/(I19-I18)</f>
        <v>-3.2613103600000068E-2</v>
      </c>
      <c r="M18" s="209"/>
      <c r="O18" s="241"/>
    </row>
    <row r="19" spans="1:15" ht="13.5" x14ac:dyDescent="0.2">
      <c r="H19" s="160"/>
      <c r="I19" s="204">
        <v>0.9</v>
      </c>
      <c r="J19" s="204">
        <v>2.5999999999999999E-2</v>
      </c>
      <c r="K19" s="204">
        <v>23.4</v>
      </c>
      <c r="L19" s="208">
        <f>J19-(J19-J20)*(M16-I19)/(I20-I19)</f>
        <v>-1.3075402399999988E-2</v>
      </c>
      <c r="M19" s="209"/>
      <c r="N19" s="209"/>
      <c r="O19" s="241"/>
    </row>
    <row r="20" spans="1:15" ht="13.5" x14ac:dyDescent="0.2">
      <c r="H20" s="160"/>
      <c r="I20" s="204">
        <v>1</v>
      </c>
      <c r="J20" s="204">
        <v>2.4E-2</v>
      </c>
      <c r="K20" s="204">
        <v>24</v>
      </c>
      <c r="L20" s="208">
        <f>J20-(J20-J21)*(M16-I20)/(I21-I20)</f>
        <v>5.4622988000000011E-3</v>
      </c>
      <c r="M20" s="160"/>
      <c r="O20" s="241"/>
    </row>
    <row r="21" spans="1:15" ht="13.5" x14ac:dyDescent="0.2">
      <c r="B21" s="61">
        <f>Т.с.!B285</f>
        <v>0</v>
      </c>
      <c r="H21" s="160"/>
      <c r="I21" s="204">
        <v>1.1000000000000001</v>
      </c>
      <c r="J21" s="204">
        <v>2.3E-2</v>
      </c>
      <c r="K21" s="204">
        <v>25.3</v>
      </c>
      <c r="L21" s="208">
        <f>J21-(J21-J22)*(M16-I21)/(I22-I21)</f>
        <v>5.462298799999963E-3</v>
      </c>
      <c r="M21" s="160"/>
      <c r="O21" s="241"/>
    </row>
    <row r="22" spans="1:15" ht="13.5" x14ac:dyDescent="0.2">
      <c r="H22" s="160"/>
      <c r="I22" s="204">
        <v>1.2</v>
      </c>
      <c r="J22" s="204">
        <v>2.1999999999999999E-2</v>
      </c>
      <c r="K22" s="204">
        <v>26.4</v>
      </c>
      <c r="L22" s="208">
        <f>J22-(J22-J23)*(M16-I22)/(I23-I22)</f>
        <v>1.3731149399999998E-2</v>
      </c>
      <c r="M22" s="160"/>
      <c r="N22" s="241"/>
      <c r="O22" s="241"/>
    </row>
    <row r="23" spans="1:15" ht="13.5" x14ac:dyDescent="0.2">
      <c r="H23" s="160"/>
      <c r="I23" s="204">
        <v>1.3</v>
      </c>
      <c r="J23" s="204">
        <v>2.1499999999999998E-2</v>
      </c>
      <c r="K23" s="204">
        <v>27.3</v>
      </c>
      <c r="L23" s="208">
        <f>J23-(J23-J24)*(M16-I23)/(I24-I23)</f>
        <v>2.9969697798000041</v>
      </c>
      <c r="M23" s="160"/>
      <c r="O23" s="241"/>
    </row>
    <row r="24" spans="1:15" ht="13.5" x14ac:dyDescent="0.2">
      <c r="H24" s="160"/>
      <c r="I24" s="204">
        <v>1.4</v>
      </c>
      <c r="J24" s="204">
        <v>0.21299999999999999</v>
      </c>
      <c r="K24" s="204">
        <v>29.8</v>
      </c>
      <c r="L24" s="208">
        <f>J24-(J24-J25)*(M16-I24)/(I25-I24)</f>
        <v>-2.5782386303999978</v>
      </c>
      <c r="M24" s="160"/>
      <c r="N24" s="241"/>
      <c r="O24" s="241"/>
    </row>
    <row r="25" spans="1:15" ht="13.5" x14ac:dyDescent="0.2">
      <c r="H25" s="160"/>
      <c r="I25" s="204">
        <v>1.5</v>
      </c>
      <c r="J25" s="204">
        <v>2.1000000000000001E-2</v>
      </c>
      <c r="K25" s="204">
        <v>31.5</v>
      </c>
      <c r="L25" s="208">
        <f>J25-(J25-J26)*(M16-I25)/(I26-I25)</f>
        <v>1.5584919519999997E-2</v>
      </c>
      <c r="M25" s="160"/>
      <c r="N25" s="241"/>
      <c r="O25" s="241"/>
    </row>
    <row r="26" spans="1:15" ht="13.5" x14ac:dyDescent="0.2">
      <c r="B26" s="61">
        <f>Т.с.!B288</f>
        <v>0</v>
      </c>
      <c r="H26" s="160"/>
      <c r="I26" s="204">
        <v>2</v>
      </c>
      <c r="J26" s="204">
        <v>1.9E-2</v>
      </c>
      <c r="K26" s="204">
        <v>38</v>
      </c>
      <c r="L26" s="208">
        <f>J26-(J26-J27)*(M16-I26)/(I27-I26)</f>
        <v>1.9E-2</v>
      </c>
      <c r="M26" s="160"/>
      <c r="N26" s="241"/>
      <c r="O26" s="241"/>
    </row>
    <row r="27" spans="1:15" ht="13.5" x14ac:dyDescent="0.2">
      <c r="H27" s="160"/>
      <c r="I27" s="204">
        <v>3</v>
      </c>
      <c r="J27" s="204">
        <v>1.9E-2</v>
      </c>
      <c r="K27" s="204">
        <v>45</v>
      </c>
      <c r="L27" s="208">
        <f>J27-(J27-J28)*(M16-I27)/(I28-I27)</f>
        <v>2.0023609159999997E-2</v>
      </c>
      <c r="M27" s="160"/>
      <c r="N27" s="241"/>
      <c r="O27" s="241"/>
    </row>
    <row r="28" spans="1:15" ht="13.5" x14ac:dyDescent="0.2">
      <c r="H28" s="160"/>
      <c r="I28" s="204">
        <v>4</v>
      </c>
      <c r="J28" s="204">
        <v>1.2E-2</v>
      </c>
      <c r="K28" s="204">
        <v>48</v>
      </c>
      <c r="L28" s="208">
        <f>J28-(J28-J29)*(M16-I28)/(I29-I28)</f>
        <v>1.3146229880000001E-2</v>
      </c>
      <c r="M28" s="160"/>
      <c r="N28" s="241"/>
      <c r="O28" s="241"/>
    </row>
    <row r="29" spans="1:15" ht="13.5" x14ac:dyDescent="0.2">
      <c r="H29" s="160"/>
      <c r="I29" s="204">
        <v>5</v>
      </c>
      <c r="J29" s="204">
        <v>1.0999999999999999E-2</v>
      </c>
      <c r="K29" s="204">
        <v>55</v>
      </c>
      <c r="L29" s="208">
        <f>J29-(J29-J30)*(M16-I29)/(I30-I29)</f>
        <v>1.2073114939999997E-2</v>
      </c>
      <c r="M29" s="160"/>
      <c r="N29" s="241"/>
      <c r="O29" s="241"/>
    </row>
    <row r="30" spans="1:15" ht="13.5" x14ac:dyDescent="0.2">
      <c r="H30" s="160"/>
      <c r="I30" s="204">
        <v>6</v>
      </c>
      <c r="J30" s="204">
        <v>1.0500000000000001E-2</v>
      </c>
      <c r="K30" s="204">
        <v>63</v>
      </c>
      <c r="L30" s="208">
        <f>J30-(J30-J31)*(M16-I30)/(I31-I30)</f>
        <v>1.2073114940000003E-2</v>
      </c>
      <c r="M30" s="160"/>
      <c r="N30" s="241"/>
      <c r="O30" s="241"/>
    </row>
    <row r="31" spans="1:15" ht="13.5" x14ac:dyDescent="0.2">
      <c r="H31" s="160"/>
      <c r="I31" s="204">
        <v>7</v>
      </c>
      <c r="J31" s="204">
        <v>0.01</v>
      </c>
      <c r="K31" s="204">
        <v>70</v>
      </c>
      <c r="L31" s="208">
        <f>J31-(J31-J32)*(M16-I31)/(I32-I31)</f>
        <v>1.2487737927999999E-2</v>
      </c>
      <c r="M31" s="160"/>
      <c r="N31" s="241"/>
      <c r="O31" s="241"/>
    </row>
    <row r="32" spans="1:15" ht="13.5" x14ac:dyDescent="0.2">
      <c r="H32" s="160"/>
      <c r="I32" s="204">
        <v>8</v>
      </c>
      <c r="J32" s="204">
        <v>9.4000000000000004E-3</v>
      </c>
      <c r="K32" s="204">
        <v>78.400000000000006</v>
      </c>
      <c r="L32" s="208">
        <f>J32-(J32-J33)*(M16-I32)/(I33-I32)</f>
        <v>7.3415080480000033E-3</v>
      </c>
      <c r="M32" s="160"/>
      <c r="N32" s="241"/>
      <c r="O32" s="241"/>
    </row>
    <row r="33" spans="8:15" ht="13.5" x14ac:dyDescent="0.2">
      <c r="H33" s="160"/>
      <c r="I33" s="204">
        <v>9</v>
      </c>
      <c r="J33" s="204">
        <v>9.7999999999999997E-3</v>
      </c>
      <c r="K33" s="204">
        <v>85.5</v>
      </c>
      <c r="L33" s="208">
        <f>J33-(J33-J34)*(M16-I33)/(I34-I33)</f>
        <v>1.1643868964E-2</v>
      </c>
      <c r="M33" s="160"/>
      <c r="N33" s="241"/>
      <c r="O33" s="241"/>
    </row>
    <row r="34" spans="8:15" ht="13.5" x14ac:dyDescent="0.2">
      <c r="H34" s="160"/>
      <c r="I34" s="204">
        <v>10</v>
      </c>
      <c r="J34" s="204">
        <v>9.4999999999999998E-3</v>
      </c>
      <c r="K34" s="204">
        <v>95</v>
      </c>
      <c r="L34" s="208" t="e">
        <f>J34-(J34-J35)*(M16-I34)/(I35-I34)</f>
        <v>#DIV/0!</v>
      </c>
      <c r="M34" s="160"/>
      <c r="N34" s="241"/>
      <c r="O34" s="241"/>
    </row>
    <row r="35" spans="8:15" ht="13.5" x14ac:dyDescent="0.2">
      <c r="H35" s="160"/>
      <c r="I35" s="204">
        <v>10</v>
      </c>
      <c r="J35" s="204">
        <v>8.9999999999999993E-3</v>
      </c>
      <c r="K35" s="204">
        <v>90</v>
      </c>
      <c r="L35" s="208" t="e">
        <f>J35-(J35-#REF!)*(M16-I35)/(#REF!-I35)</f>
        <v>#REF!</v>
      </c>
      <c r="M35" s="160"/>
      <c r="N35" s="241"/>
      <c r="O35" s="241"/>
    </row>
    <row r="36" spans="8:15" x14ac:dyDescent="0.2">
      <c r="H36" s="160"/>
      <c r="I36" s="223" t="s">
        <v>176</v>
      </c>
      <c r="J36" s="160"/>
      <c r="K36" s="160"/>
      <c r="L36" s="247"/>
      <c r="M36" s="160"/>
      <c r="N36" s="241"/>
      <c r="O36" s="241"/>
    </row>
    <row r="37" spans="8:15" x14ac:dyDescent="0.2">
      <c r="H37" s="160"/>
      <c r="I37" s="160"/>
      <c r="J37" s="160"/>
      <c r="K37" s="160"/>
      <c r="L37" s="247"/>
      <c r="M37" s="160"/>
      <c r="N37" s="241"/>
      <c r="O37" s="241"/>
    </row>
    <row r="38" spans="8:15" x14ac:dyDescent="0.2">
      <c r="H38" s="160"/>
      <c r="I38" s="160"/>
      <c r="J38" s="160"/>
      <c r="K38" s="160"/>
      <c r="L38" s="247"/>
      <c r="M38" s="160"/>
      <c r="N38" s="241"/>
      <c r="O38" s="241"/>
    </row>
    <row r="39" spans="8:15" x14ac:dyDescent="0.2">
      <c r="N39" s="241"/>
      <c r="O39" s="241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Дячук Артём Владимирович</cp:lastModifiedBy>
  <cp:lastPrinted>2017-02-09T13:13:16Z</cp:lastPrinted>
  <dcterms:created xsi:type="dcterms:W3CDTF">2004-03-03T10:32:04Z</dcterms:created>
  <dcterms:modified xsi:type="dcterms:W3CDTF">2017-02-27T07:22:03Z</dcterms:modified>
</cp:coreProperties>
</file>