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1171В\Публикация\"/>
    </mc:Choice>
  </mc:AlternateContent>
  <bookViews>
    <workbookView xWindow="-15" yWindow="-15" windowWidth="11520" windowHeight="9330" tabRatio="831" activeTab="6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6" r:id="rId6"/>
    <sheet name="СОГЛ" sheetId="72" r:id="rId7"/>
  </sheets>
  <externalReferences>
    <externalReference r:id="rId8"/>
  </externalReference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ПОЖ!$A$1:$H$36</definedName>
    <definedName name="_xlnm.Print_Area" localSheetId="5">РДП!$A$1:$H$33</definedName>
    <definedName name="_xlnm.Print_Area" localSheetId="6">СОГЛ!$A$1:$G$26</definedName>
    <definedName name="_xlnm.Print_Area" localSheetId="1">Т.с.!$A$1:$H$89</definedName>
  </definedNames>
  <calcPr calcId="162913" iterateDelta="9.9999999974897903E-4"/>
</workbook>
</file>

<file path=xl/calcChain.xml><?xml version="1.0" encoding="utf-8"?>
<calcChain xmlns="http://schemas.openxmlformats.org/spreadsheetml/2006/main">
  <c r="D51" i="62" l="1"/>
  <c r="H51" i="62" s="1"/>
  <c r="C47" i="62"/>
  <c r="D47" i="62" s="1"/>
  <c r="D42" i="62"/>
  <c r="H42" i="62" s="1"/>
  <c r="D37" i="62"/>
  <c r="G37" i="62" s="1"/>
  <c r="D32" i="62"/>
  <c r="H32" i="62" s="1"/>
  <c r="C27" i="62"/>
  <c r="D27" i="62" s="1"/>
  <c r="G27" i="62" s="1"/>
  <c r="C24" i="62"/>
  <c r="C23" i="62"/>
  <c r="C17" i="62"/>
  <c r="D17" i="62" s="1"/>
  <c r="H22" i="62" l="1"/>
  <c r="G22" i="62"/>
  <c r="C55" i="62"/>
  <c r="G32" i="62"/>
  <c r="G42" i="62"/>
  <c r="G48" i="62"/>
  <c r="H48" i="62"/>
  <c r="H21" i="62"/>
  <c r="G23" i="62"/>
  <c r="H24" i="62"/>
  <c r="H27" i="62"/>
  <c r="H37" i="62"/>
  <c r="G21" i="62"/>
  <c r="H23" i="62"/>
  <c r="G24" i="62"/>
  <c r="G51" i="62"/>
  <c r="D20" i="71" l="1"/>
  <c r="G20" i="71" l="1"/>
  <c r="F54" i="70"/>
  <c r="H53" i="70" s="1"/>
  <c r="F52" i="70"/>
  <c r="H51" i="70" s="1"/>
  <c r="F50" i="70"/>
  <c r="H49" i="70" s="1"/>
  <c r="G49" i="70"/>
  <c r="H48" i="70"/>
  <c r="G48" i="70"/>
  <c r="H47" i="70"/>
  <c r="G47" i="70"/>
  <c r="H45" i="70"/>
  <c r="G45" i="70"/>
  <c r="H41" i="70"/>
  <c r="H42" i="70" s="1"/>
  <c r="G41" i="70"/>
  <c r="G38" i="70"/>
  <c r="F38" i="70"/>
  <c r="H38" i="70" s="1"/>
  <c r="H37" i="70"/>
  <c r="H39" i="70" s="1"/>
  <c r="G37" i="70"/>
  <c r="H35" i="70"/>
  <c r="G36" i="70" s="1"/>
  <c r="G35" i="70"/>
  <c r="H34" i="70"/>
  <c r="G34" i="70"/>
  <c r="H29" i="70"/>
  <c r="G29" i="70"/>
  <c r="B29" i="70"/>
  <c r="H28" i="70"/>
  <c r="G28" i="70"/>
  <c r="B28" i="70"/>
  <c r="H27" i="70"/>
  <c r="G30" i="70" s="1"/>
  <c r="G27" i="70"/>
  <c r="B27" i="70"/>
  <c r="H25" i="70"/>
  <c r="G25" i="70"/>
  <c r="H23" i="70"/>
  <c r="G23" i="70"/>
  <c r="H22" i="70"/>
  <c r="G22" i="70"/>
  <c r="G21" i="70"/>
  <c r="H21" i="70" s="1"/>
  <c r="H20" i="70"/>
  <c r="G20" i="70"/>
  <c r="H19" i="70"/>
  <c r="G19" i="70"/>
  <c r="H18" i="70"/>
  <c r="G18" i="70"/>
  <c r="H17" i="70"/>
  <c r="G17" i="70"/>
  <c r="H15" i="70"/>
  <c r="G15" i="70"/>
  <c r="H14" i="70"/>
  <c r="H16" i="70" s="1"/>
  <c r="G14" i="70"/>
  <c r="G42" i="70" l="1"/>
  <c r="G53" i="70"/>
  <c r="G51" i="70"/>
  <c r="H20" i="71"/>
  <c r="H21" i="71" s="1"/>
  <c r="G33" i="70"/>
  <c r="G32" i="70"/>
  <c r="G31" i="70"/>
  <c r="H33" i="70"/>
  <c r="H32" i="70"/>
  <c r="H31" i="70"/>
  <c r="H36" i="70"/>
  <c r="G39" i="70"/>
  <c r="H55" i="70" l="1"/>
  <c r="G56" i="70" s="1"/>
  <c r="H56" i="70"/>
  <c r="H57" i="70" s="1"/>
  <c r="H59" i="70" l="1"/>
  <c r="H58" i="70"/>
  <c r="G59" i="70"/>
  <c r="G58" i="70"/>
  <c r="G57" i="70"/>
  <c r="H60" i="70" l="1"/>
  <c r="G61" i="70" s="1"/>
  <c r="G60" i="70"/>
  <c r="H61" i="70" l="1"/>
  <c r="D15" i="74" s="1"/>
  <c r="B89" i="62" l="1"/>
  <c r="B26" i="72" s="1"/>
  <c r="B86" i="62"/>
  <c r="B41" i="63" s="1"/>
  <c r="B44" i="63" l="1"/>
  <c r="B64" i="70"/>
  <c r="B31" i="71"/>
  <c r="B27" i="76"/>
  <c r="B21" i="72"/>
  <c r="B68" i="70"/>
  <c r="B35" i="71"/>
  <c r="B31" i="76"/>
  <c r="D17" i="74"/>
  <c r="G17" i="74" s="1"/>
  <c r="A7" i="76" l="1"/>
  <c r="D17" i="76"/>
  <c r="G17" i="76" s="1"/>
  <c r="D13" i="76"/>
  <c r="H13" i="76" s="1"/>
  <c r="G13" i="76" l="1"/>
  <c r="H17" i="76"/>
  <c r="H21" i="76" s="1"/>
  <c r="H22" i="76" l="1"/>
  <c r="G22" i="76"/>
  <c r="H23" i="76" l="1"/>
  <c r="G23" i="76"/>
  <c r="H76" i="62" l="1"/>
  <c r="H77" i="62"/>
  <c r="H78" i="62"/>
  <c r="H79" i="62"/>
  <c r="H75" i="62"/>
  <c r="G76" i="62"/>
  <c r="G77" i="62"/>
  <c r="G78" i="62"/>
  <c r="G79" i="62"/>
  <c r="G75" i="62"/>
  <c r="D55" i="62" l="1"/>
  <c r="H55" i="62" s="1"/>
  <c r="H59" i="62" s="1"/>
  <c r="C71" i="62"/>
  <c r="D19" i="71" l="1"/>
  <c r="G55" i="62"/>
  <c r="A9" i="72"/>
  <c r="A9" i="71"/>
  <c r="A9" i="70"/>
  <c r="A7" i="63"/>
  <c r="A8" i="62"/>
  <c r="H19" i="71" l="1"/>
  <c r="G19" i="71"/>
  <c r="F14" i="63"/>
  <c r="F21" i="63" l="1"/>
  <c r="F29" i="63" l="1"/>
  <c r="G15" i="74" l="1"/>
  <c r="F31" i="63"/>
  <c r="G31" i="63" s="1"/>
  <c r="G32" i="63" s="1"/>
  <c r="G33" i="63" s="1"/>
  <c r="D16" i="74" l="1"/>
  <c r="G16" i="74" s="1"/>
  <c r="H60" i="62" l="1"/>
  <c r="F23" i="63"/>
  <c r="F16" i="63"/>
  <c r="G16" i="63" s="1"/>
  <c r="G17" i="63" s="1"/>
  <c r="G18" i="63" s="1"/>
  <c r="C72" i="62"/>
  <c r="G23" i="63" l="1"/>
  <c r="G24" i="63" s="1"/>
  <c r="G25" i="63" s="1"/>
  <c r="G35" i="63" s="1"/>
  <c r="D11" i="74" s="1"/>
  <c r="G60" i="62"/>
  <c r="C73" i="62"/>
  <c r="G19" i="63"/>
  <c r="C65" i="62" l="1"/>
  <c r="D65" i="62" s="1"/>
  <c r="G65" i="62" s="1"/>
  <c r="H65" i="62" s="1"/>
  <c r="H68" i="62" s="1"/>
  <c r="F21" i="70"/>
  <c r="D12" i="74"/>
  <c r="G11" i="74"/>
  <c r="G12" i="74" s="1"/>
  <c r="G26" i="63"/>
  <c r="G36" i="63"/>
  <c r="G37" i="63" s="1"/>
  <c r="H80" i="62" l="1"/>
  <c r="I81" i="62" s="1"/>
  <c r="C14" i="72" s="1"/>
  <c r="H81" i="62" l="1"/>
  <c r="H82" i="62" l="1"/>
  <c r="D14" i="74"/>
  <c r="G14" i="74" s="1"/>
  <c r="G82" i="62"/>
  <c r="G16" i="72" l="1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E17" i="72" s="1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4" s="1"/>
  <c r="G18" i="74" l="1"/>
  <c r="G19" i="74" s="1"/>
  <c r="G20" i="74" s="1"/>
  <c r="G22" i="74" s="1"/>
  <c r="G23" i="74" s="1"/>
  <c r="G24" i="74" s="1"/>
  <c r="D19" i="74"/>
  <c r="D20" i="74" s="1"/>
</calcChain>
</file>

<file path=xl/sharedStrings.xml><?xml version="1.0" encoding="utf-8"?>
<sst xmlns="http://schemas.openxmlformats.org/spreadsheetml/2006/main" count="447" uniqueCount="350">
  <si>
    <t>Расчет стоимости</t>
  </si>
  <si>
    <t>НДС 18%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</si>
  <si>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</si>
  <si>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</si>
  <si>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</si>
  <si>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</si>
  <si>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</si>
  <si>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</si>
  <si>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</si>
  <si>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</si>
  <si>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</si>
  <si>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</si>
  <si>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</si>
  <si>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</si>
  <si>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</si>
  <si>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</si>
  <si>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</si>
  <si>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</si>
  <si>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</si>
  <si>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</si>
  <si>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</si>
  <si>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</si>
  <si>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</si>
  <si>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</si>
  <si>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</si>
  <si>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</si>
  <si>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</si>
  <si>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</si>
  <si>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</si>
  <si>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</si>
  <si>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</si>
  <si>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</si>
  <si>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</si>
  <si>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</si>
  <si>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</si>
  <si>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</si>
  <si>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</si>
  <si>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</si>
  <si>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</si>
  <si>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</si>
  <si>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</si>
  <si>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</si>
  <si>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</si>
  <si>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</si>
  <si>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</si>
  <si>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</si>
  <si>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</si>
  <si>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</si>
  <si>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</si>
  <si>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</si>
  <si>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</si>
  <si>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</si>
  <si>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</si>
  <si>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</si>
  <si>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</si>
  <si>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</si>
  <si>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</si>
  <si>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</si>
  <si>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</si>
  <si>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</si>
  <si>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</si>
  <si>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</si>
  <si>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</si>
  <si>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</si>
  <si>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</si>
  <si>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</si>
  <si>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</si>
  <si>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</si>
  <si>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</si>
  <si>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</si>
  <si>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</si>
  <si>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</si>
  <si>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</si>
  <si>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</si>
  <si>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</si>
  <si>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</si>
  <si>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</si>
  <si>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</si>
  <si>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</si>
  <si>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</si>
  <si>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</si>
  <si>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</si>
  <si>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</si>
  <si>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</si>
  <si>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</si>
  <si>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</si>
  <si>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</si>
  <si>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</si>
  <si>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</si>
  <si>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</si>
  <si>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</si>
  <si>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</si>
  <si>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</si>
  <si>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</si>
  <si>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</si>
  <si>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</si>
  <si>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</si>
  <si>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</si>
  <si>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</si>
  <si>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</si>
  <si>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</si>
  <si>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</si>
  <si>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</si>
  <si>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</si>
  <si>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</si>
  <si>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</si>
  <si>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</si>
  <si>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</si>
  <si>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</si>
  <si>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</si>
  <si>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</si>
  <si>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</si>
  <si>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</si>
  <si>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</si>
  <si>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</si>
  <si>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</si>
  <si>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</si>
  <si>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</si>
  <si>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</si>
  <si>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</si>
  <si>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</si>
  <si>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</si>
  <si>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</si>
  <si>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</si>
  <si>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</si>
  <si>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</si>
  <si>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</si>
  <si>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</si>
  <si>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</si>
  <si>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</si>
  <si>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</si>
  <si>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</si>
  <si>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</si>
  <si>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</si>
  <si>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</si>
  <si>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</si>
  <si>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</si>
  <si>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</si>
  <si>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</si>
  <si>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</si>
  <si>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</si>
  <si>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</si>
  <si>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</si>
  <si>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</si>
  <si>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</si>
  <si>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</si>
  <si>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</si>
  <si>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</si>
  <si>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</si>
  <si>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</si>
  <si>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</si>
  <si>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</si>
  <si>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</si>
  <si>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</si>
  <si>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</si>
  <si>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</si>
  <si>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</si>
  <si>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</si>
  <si>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</si>
  <si>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</si>
  <si>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</si>
  <si>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</si>
  <si>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</si>
  <si>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</si>
  <si>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</si>
  <si>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</si>
  <si>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</si>
  <si>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</si>
  <si>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</si>
  <si>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</si>
  <si>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</si>
  <si>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</si>
  <si>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</si>
  <si>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</si>
  <si>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</si>
  <si>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</si>
  <si>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</si>
  <si>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</si>
  <si>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</si>
  <si>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</si>
  <si>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</si>
  <si>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</si>
  <si>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</si>
  <si>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</si>
  <si>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</si>
  <si>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</si>
  <si>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</si>
  <si>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</si>
  <si>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</si>
  <si>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Расчет рассеивания ЗВ (от п.11)</t>
  </si>
  <si>
    <t>Расчет массы выбросов ЗВ от стационарных и передвижных источников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</si>
  <si>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</si>
  <si>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</si>
  <si>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</si>
  <si>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</si>
  <si>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</si>
  <si>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</si>
  <si>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</si>
  <si>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</si>
  <si>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</si>
  <si>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</si>
  <si>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</si>
  <si>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</si>
  <si>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</si>
  <si>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</si>
  <si>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</si>
  <si>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</si>
  <si>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</si>
  <si>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</si>
  <si>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</si>
  <si>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</si>
  <si>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</si>
  <si>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</si>
  <si>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</si>
  <si>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</si>
  <si>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</si>
  <si>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</si>
  <si>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</si>
  <si>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</si>
  <si>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</si>
  <si>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</si>
  <si>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</si>
  <si>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</si>
  <si>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</si>
  <si>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</si>
  <si>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</si>
  <si>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</si>
  <si>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</si>
  <si>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</si>
  <si>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</si>
  <si>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</si>
  <si>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</si>
  <si>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</si>
  <si>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</si>
  <si>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</si>
  <si>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</si>
  <si>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</si>
  <si>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</si>
  <si>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</si>
  <si>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</si>
  <si>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</si>
  <si>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</si>
  <si>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</si>
  <si>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</si>
  <si>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</si>
  <si>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</si>
  <si>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</si>
  <si>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</si>
  <si>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 xml:space="preserve">Итого по Сводному расчету 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</si>
  <si>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</si>
  <si>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</si>
  <si>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</si>
  <si>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</si>
  <si>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</si>
  <si>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</si>
  <si>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</si>
  <si>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</si>
  <si>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</si>
  <si>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</si>
  <si>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</si>
  <si>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Индекс пересчета на изыскательские работы  на 4 квартал 2016г. (Письмо Минстроя РФ №41695-ХМ от 09.12.2016г)</t>
  </si>
  <si>
    <t>Индекс пересчета на проектные работы на 1 квартал 2017 г.(Распоряжение департамента Москвы №55-Р от 30.12.2015г.)</t>
  </si>
  <si>
    <t>Передача сигнала РДП</t>
  </si>
  <si>
    <t>Индекс пересчета на проектные работы  на 4 квартал 2016г. (Письмо Минстроя РФ №41695-ХМ от 09.12.2016г)</t>
  </si>
  <si>
    <t>Смета № 6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</si>
  <si>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</si>
  <si>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</si>
  <si>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</si>
  <si>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</si>
  <si>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</si>
  <si>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</si>
  <si>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</si>
  <si>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</si>
  <si>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</si>
  <si>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</si>
  <si>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</si>
  <si>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</si>
  <si>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</si>
  <si>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</si>
  <si>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</si>
  <si>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</si>
  <si>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Всего по сводному расчету, в т.ч. НДС 18%</t>
  </si>
  <si>
    <t>Тепловая камера : 
                                        S=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</si>
  <si>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</si>
  <si>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</si>
  <si>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</si>
  <si>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</si>
  <si>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Итого по сводному расчету в текущих ценах</t>
  </si>
  <si>
    <t>территория жилой застройки</t>
  </si>
  <si>
    <t>городские магистрали</t>
  </si>
  <si>
    <t>Натуральный показатель "X", 
м. кв.</t>
  </si>
  <si>
    <t>до 500</t>
  </si>
  <si>
    <t>от 500 до 5000</t>
  </si>
  <si>
    <t>от 5000 до 10000</t>
  </si>
  <si>
    <t>от 10000 до 50000</t>
  </si>
  <si>
    <t>от 50000 до 100000</t>
  </si>
  <si>
    <t>от 100000 до 200000</t>
  </si>
  <si>
    <t>свыше 200000</t>
  </si>
  <si>
    <t>(Таблица 50) ТЧ п.6.5</t>
  </si>
  <si>
    <t>комплекс</t>
  </si>
  <si>
    <t xml:space="preserve">3.2.1 таблица 6 </t>
  </si>
  <si>
    <t>Акустический режим объекта. Натурные замеры уровней шума на территории</t>
  </si>
  <si>
    <t>1измерение в 1точке</t>
  </si>
  <si>
    <t>3.2.7 таблица 17а, п.1</t>
  </si>
  <si>
    <t>коэф. 1,15 на выпуск разделов отдельными томами</t>
  </si>
  <si>
    <t>Раздел. Оплата согласований</t>
  </si>
  <si>
    <t>Теплосеть (Байпас) :           L=</t>
  </si>
  <si>
    <t xml:space="preserve">Камера байпаса </t>
  </si>
  <si>
    <t>Тепловая камера:
                                        S=</t>
  </si>
  <si>
    <t>Узел управления для обслуживания шаровых кранов (байпас) :</t>
  </si>
  <si>
    <t>Разработана на основании "Сборника Единой нормативной базы МРР. Глава 4. Архитектурно-строительное проектирование. Основные проектные работы. Сборник 4.2. Инженерные сети и  сооружения. МРР -4.2-16"</t>
  </si>
  <si>
    <t>Обоснование расчета                                        № поз. МРР-6.1-16</t>
  </si>
  <si>
    <t>Сборника Единой нормативной базы МРР. Глава 6 . Разделы проектной документации,не вошедшие в стоимость основных проектных работ. 
Сборник 6.1 Мероприятия по охране  окружающей среды МРР-6.1-16</t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</si>
  <si>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(МРР-1.1-16 табл. 5.2)</t>
    </r>
  </si>
  <si>
    <t>Разработана на основании "Сборника Единой нормативной базы МРР. Глава 7. Объекты благоустройства и городской среды. Сборник 7.1.  Комплексное благоустройство территорий, крыш зданий и других  искусственных оснований" МРР -7.1-16</t>
  </si>
  <si>
    <t>Благоустройство: территория жилой застройки    (Табл. 2.2.1 п.1), га.</t>
  </si>
  <si>
    <t>Разработана на основании "Сборника Единой нормативной базы МРР. Глава 6. Разделы проектной документации,не вошедшие в стоимость основных проектных работ. Сборник 6.1 Мероприятия по охранеокружающей среды. МРР-6.1-16"</t>
  </si>
  <si>
    <t>Разработана на основании "Сборника Единой нормативной базы МРР. Глава 6.  Разделы проектной документации,не вошедшие в  стоимость основных проектных работ. Сборник 6.2  Мероприятия по обеспечению пожарной безопасности. МРР-6.2-16</t>
  </si>
  <si>
    <t>Тепловая камера реконструкция</t>
  </si>
  <si>
    <t>Теплосеть до Ду150 в ППУ-ПЭ и Изопрофлекс-А</t>
  </si>
  <si>
    <t xml:space="preserve">2Ду40 ОТв ППУ-ПЭ + 2Ду32 ГВС  «Изопрофлекс-А»
</t>
  </si>
  <si>
    <r>
      <t xml:space="preserve">К - </t>
    </r>
    <r>
      <rPr>
        <sz val="10"/>
        <rFont val="Times New Roman"/>
        <family val="1"/>
        <charset val="204"/>
      </rPr>
      <t>На 4-х трубную систему</t>
    </r>
  </si>
  <si>
    <t>в монолитном непроходном канале ОТ</t>
  </si>
  <si>
    <t>бесканально на ж/б основании ОТ</t>
  </si>
  <si>
    <t>в монолитном непроходном канале ГВС</t>
  </si>
  <si>
    <t>бесканально на ж/б основании ГВС</t>
  </si>
  <si>
    <t>строительная часть 100%</t>
  </si>
  <si>
    <t>Монолитная 4,2*4,6*2,7м</t>
  </si>
  <si>
    <t>Монтаж Байпас  до Ду300</t>
  </si>
  <si>
    <r>
      <t xml:space="preserve">К - </t>
    </r>
    <r>
      <rPr>
        <sz val="10"/>
        <rFont val="Times New Roman"/>
        <family val="1"/>
        <charset val="204"/>
      </rPr>
      <t>на 2 последующ. тр-да</t>
    </r>
  </si>
  <si>
    <t xml:space="preserve">2Ду ОТ 200 мм.; ДуГВС1 150 мм.; ДуГВС1ц 100 мм. </t>
  </si>
  <si>
    <t>Монтаж Байпас  до Ду150</t>
  </si>
  <si>
    <t xml:space="preserve">2Ду ОТ 150 мм.; ДуГВС1 100 мм.; ДуГВС1ц 80 мм. + 2Ду ОТ 100 мм.; ДуГВС1 100 мм.; ДуГВС1ц 80 мм. </t>
  </si>
  <si>
    <t>Сборная 2,8*3,2*2,3м2</t>
  </si>
  <si>
    <t>(табл.3.4 п.1)   Ц(б)2000 = а+b*х,  где а=</t>
  </si>
  <si>
    <t>К - реконструкция табл.2.1 п.1</t>
  </si>
  <si>
    <t>(табл.3.5 п.4)    Ц(б)2000 = 
а+b*х,  где а=</t>
  </si>
  <si>
    <t>(табл.3.4 п.12а)  Ц(б)2000 = а,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</si>
  <si>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(табл.3.4 прим. п.5)</t>
    </r>
  </si>
  <si>
    <t>(табл.3.4 п.2)   Ц(б)2000 = а+b*х,  где а=</t>
  </si>
  <si>
    <t>(табл.3.5 п.3)    Ц(б)2000 = 
а+b*х,  где а=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</si>
  <si>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«Нежилое здание»,   расположенного  по    адресу: 
г. Москва, Мичуринский проспект, вл.9, корп.5.</t>
  </si>
  <si>
    <t xml:space="preserve"> 3.1.2 таблица 3 п.6. Проект отдельного объекта</t>
  </si>
  <si>
    <t>3.1.2 таблица 3 п.10. Проект отдельного объекта</t>
  </si>
  <si>
    <t>3.2.5. Табл.10, п.2</t>
  </si>
  <si>
    <t>(табл.3.4 п.13)   Ц(б)2000 = а+b*х,  где а=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</si>
  <si>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2 п.2.9)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</si>
  <si>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(табл.3.4 прим.п.6)</t>
    </r>
  </si>
  <si>
    <t>Базовая стоимость разработки проектной документации   (табл. 2.3)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</si>
  <si>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1.2)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</si>
</sst>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7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1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FF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</cellStyleXfs>
  <cellXfs count="789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Border="1" applyAlignment="1">
      <alignment horizontal="left" wrapText="1"/>
    </xf>
    <xf numFmtId="168" fontId="16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8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20" xfId="14" applyFont="1" applyBorder="1" applyAlignment="1" applyProtection="1">
      <alignment horizontal="center" vertical="center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Border="1" applyAlignment="1" applyProtection="1">
      <alignment horizontal="center" vertical="center" wrapText="1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21" xfId="14" applyFont="1" applyBorder="1" applyAlignment="1" applyProtection="1">
      <alignment horizontal="center" vertical="center"/>
      <protection locked="0"/>
    </xf>
    <xf numFmtId="4" fontId="14" fillId="2" borderId="38" xfId="11" applyNumberFormat="1" applyFont="1" applyFill="1" applyBorder="1" applyAlignment="1">
      <alignment horizontal="center" vertical="center" wrapText="1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70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2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4" applyFont="1" applyBorder="1" applyAlignment="1" applyProtection="1">
      <alignment horizontal="right" vertical="center"/>
      <protection locked="0"/>
    </xf>
    <xf numFmtId="0" fontId="14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6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4" fillId="0" borderId="3" xfId="17" applyFont="1" applyBorder="1" applyAlignment="1">
      <alignment horizontal="center" vertical="center"/>
    </xf>
    <xf numFmtId="169" fontId="14" fillId="0" borderId="0" xfId="0" applyNumberFormat="1" applyFont="1" applyFill="1"/>
    <xf numFmtId="0" fontId="32" fillId="0" borderId="0" xfId="16" applyFont="1"/>
    <xf numFmtId="0" fontId="34" fillId="0" borderId="3" xfId="17" applyFont="1" applyBorder="1" applyAlignment="1">
      <alignment horizontal="left" vertical="top" wrapText="1"/>
    </xf>
    <xf numFmtId="169" fontId="36" fillId="0" borderId="6" xfId="17" applyNumberFormat="1" applyFont="1" applyFill="1" applyBorder="1" applyAlignment="1">
      <alignment horizontal="center" vertical="center"/>
    </xf>
    <xf numFmtId="0" fontId="35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7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8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169" fontId="41" fillId="0" borderId="3" xfId="17" applyNumberFormat="1" applyFont="1" applyBorder="1" applyAlignment="1">
      <alignment horizontal="center" vertical="center" wrapText="1"/>
    </xf>
    <xf numFmtId="0" fontId="40" fillId="0" borderId="3" xfId="17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7" applyFont="1" applyBorder="1" applyAlignment="1">
      <alignment horizontal="center" vertical="center" wrapText="1"/>
    </xf>
    <xf numFmtId="0" fontId="39" fillId="0" borderId="42" xfId="17" applyFont="1" applyBorder="1" applyAlignment="1">
      <alignment horizontal="center" vertical="center" wrapText="1"/>
    </xf>
    <xf numFmtId="0" fontId="39" fillId="0" borderId="2" xfId="17" applyFont="1" applyBorder="1" applyAlignment="1">
      <alignment horizontal="center" vertical="center" wrapText="1"/>
    </xf>
    <xf numFmtId="0" fontId="43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center" wrapText="1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5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14" fillId="0" borderId="4" xfId="14" applyFont="1" applyFill="1" applyBorder="1" applyAlignment="1">
      <alignment vertical="top" wrapText="1"/>
    </xf>
    <xf numFmtId="0" fontId="14" fillId="0" borderId="53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7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0" fontId="14" fillId="0" borderId="54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56" xfId="14" applyFont="1" applyFill="1" applyBorder="1" applyAlignment="1">
      <alignment vertical="center"/>
    </xf>
    <xf numFmtId="9" fontId="14" fillId="0" borderId="57" xfId="14" applyNumberFormat="1" applyFont="1" applyFill="1" applyBorder="1" applyAlignment="1">
      <alignment horizontal="center" vertical="center" wrapText="1"/>
    </xf>
    <xf numFmtId="4" fontId="14" fillId="0" borderId="57" xfId="14" applyNumberFormat="1" applyFont="1" applyFill="1" applyBorder="1" applyAlignment="1">
      <alignment horizontal="center" vertical="center" wrapText="1"/>
    </xf>
    <xf numFmtId="0" fontId="14" fillId="0" borderId="57" xfId="14" applyFont="1" applyFill="1" applyBorder="1" applyAlignment="1">
      <alignment horizontal="left" vertical="center" wrapText="1"/>
    </xf>
    <xf numFmtId="0" fontId="14" fillId="0" borderId="57" xfId="14" applyFont="1" applyFill="1" applyBorder="1" applyAlignment="1">
      <alignment horizontal="center" vertical="center" wrapText="1"/>
    </xf>
    <xf numFmtId="3" fontId="14" fillId="0" borderId="53" xfId="14" applyNumberFormat="1" applyFont="1" applyFill="1" applyBorder="1" applyAlignment="1">
      <alignment horizontal="center" vertical="center" wrapText="1"/>
    </xf>
    <xf numFmtId="4" fontId="14" fillId="0" borderId="59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0" fontId="46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1" xfId="14" applyNumberFormat="1" applyFont="1" applyFill="1" applyBorder="1" applyAlignment="1">
      <alignment horizontal="right" vertical="center" wrapText="1"/>
    </xf>
    <xf numFmtId="0" fontId="16" fillId="0" borderId="3" xfId="14" applyFont="1" applyBorder="1" applyAlignment="1" applyProtection="1">
      <alignment horizontal="left" vertical="center" wrapText="1"/>
      <protection locked="0"/>
    </xf>
    <xf numFmtId="168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8" xfId="14" applyFont="1" applyBorder="1" applyAlignment="1" applyProtection="1">
      <alignment horizontal="left" vertical="center" wrapText="1"/>
      <protection locked="0"/>
    </xf>
    <xf numFmtId="168" fontId="16" fillId="0" borderId="38" xfId="14" applyNumberFormat="1" applyFont="1" applyBorder="1" applyAlignment="1" applyProtection="1">
      <alignment horizontal="center" vertical="center" wrapText="1"/>
      <protection locked="0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47" fillId="0" borderId="0" xfId="5" applyFont="1" applyAlignment="1">
      <alignment vertical="center"/>
    </xf>
    <xf numFmtId="0" fontId="49" fillId="0" borderId="0" xfId="5" applyFont="1" applyAlignment="1">
      <alignment vertical="center" wrapText="1"/>
    </xf>
    <xf numFmtId="0" fontId="47" fillId="0" borderId="0" xfId="5" applyFont="1" applyAlignment="1">
      <alignment horizontal="center" vertical="center"/>
    </xf>
    <xf numFmtId="2" fontId="47" fillId="0" borderId="0" xfId="5" applyNumberFormat="1" applyFont="1" applyBorder="1" applyAlignment="1" applyProtection="1">
      <alignment horizontal="center" vertical="center"/>
      <protection locked="0"/>
    </xf>
    <xf numFmtId="0" fontId="47" fillId="0" borderId="0" xfId="5" applyFont="1" applyBorder="1" applyAlignment="1" applyProtection="1">
      <alignment horizontal="left" vertical="center"/>
      <protection locked="0"/>
    </xf>
    <xf numFmtId="0" fontId="49" fillId="0" borderId="0" xfId="12" applyFont="1" applyBorder="1" applyAlignment="1" applyProtection="1">
      <alignment vertical="center" wrapText="1"/>
      <protection locked="0"/>
    </xf>
    <xf numFmtId="2" fontId="47" fillId="0" borderId="0" xfId="12" applyNumberFormat="1" applyFont="1" applyBorder="1" applyAlignment="1" applyProtection="1">
      <alignment vertical="center"/>
      <protection locked="0"/>
    </xf>
    <xf numFmtId="0" fontId="47" fillId="0" borderId="0" xfId="12" applyFont="1" applyBorder="1" applyAlignment="1" applyProtection="1">
      <alignment horizontal="center" vertical="center"/>
      <protection locked="0"/>
    </xf>
    <xf numFmtId="0" fontId="47" fillId="0" borderId="0" xfId="12" applyFont="1" applyBorder="1" applyAlignment="1" applyProtection="1">
      <alignment vertical="center"/>
      <protection locked="0"/>
    </xf>
    <xf numFmtId="2" fontId="48" fillId="0" borderId="0" xfId="12" applyNumberFormat="1" applyFont="1" applyBorder="1" applyAlignment="1" applyProtection="1">
      <alignment horizontal="left" vertical="center"/>
      <protection locked="0"/>
    </xf>
    <xf numFmtId="0" fontId="48" fillId="0" borderId="0" xfId="12" applyFont="1" applyBorder="1" applyAlignment="1" applyProtection="1">
      <alignment horizontal="center" vertical="center"/>
      <protection locked="0"/>
    </xf>
    <xf numFmtId="0" fontId="48" fillId="0" borderId="0" xfId="12" applyFont="1" applyBorder="1" applyAlignment="1" applyProtection="1">
      <alignment vertical="center"/>
      <protection locked="0"/>
    </xf>
    <xf numFmtId="0" fontId="49" fillId="0" borderId="0" xfId="5" applyFont="1" applyFill="1" applyAlignment="1">
      <alignment vertical="center" wrapText="1"/>
    </xf>
    <xf numFmtId="2" fontId="48" fillId="0" borderId="0" xfId="14" applyNumberFormat="1" applyFont="1" applyFill="1" applyBorder="1" applyAlignment="1" applyProtection="1">
      <alignment horizontal="left" vertical="center"/>
      <protection locked="0"/>
    </xf>
    <xf numFmtId="0" fontId="48" fillId="0" borderId="0" xfId="12" applyFont="1" applyFill="1" applyBorder="1" applyAlignment="1" applyProtection="1">
      <alignment vertical="center"/>
      <protection locked="0"/>
    </xf>
    <xf numFmtId="0" fontId="47" fillId="0" borderId="0" xfId="14" applyFont="1" applyFill="1" applyBorder="1" applyAlignment="1" applyProtection="1">
      <alignment vertical="center"/>
      <protection locked="0"/>
    </xf>
    <xf numFmtId="4" fontId="49" fillId="0" borderId="0" xfId="5" applyNumberFormat="1" applyFont="1" applyFill="1" applyAlignment="1">
      <alignment vertical="center" wrapText="1"/>
    </xf>
    <xf numFmtId="0" fontId="50" fillId="0" borderId="0" xfId="36" applyFont="1" applyAlignment="1">
      <alignment vertical="center"/>
    </xf>
    <xf numFmtId="0" fontId="47" fillId="0" borderId="0" xfId="5" applyFont="1" applyFill="1" applyAlignment="1">
      <alignment vertical="center"/>
    </xf>
    <xf numFmtId="4" fontId="47" fillId="0" borderId="0" xfId="14" applyNumberFormat="1" applyFont="1" applyFill="1" applyBorder="1" applyAlignment="1" applyProtection="1">
      <alignment horizontal="right" vertical="center"/>
      <protection locked="0"/>
    </xf>
    <xf numFmtId="0" fontId="51" fillId="0" borderId="0" xfId="5" applyFont="1" applyAlignment="1">
      <alignment vertical="center"/>
    </xf>
    <xf numFmtId="0" fontId="52" fillId="0" borderId="0" xfId="0" applyFont="1" applyAlignment="1">
      <alignment vertical="center" wrapText="1"/>
    </xf>
    <xf numFmtId="4" fontId="53" fillId="0" borderId="0" xfId="0" applyNumberFormat="1" applyFont="1" applyBorder="1" applyAlignment="1">
      <alignment vertical="center" wrapText="1"/>
    </xf>
    <xf numFmtId="0" fontId="52" fillId="0" borderId="0" xfId="0" applyFont="1" applyBorder="1" applyAlignment="1">
      <alignment vertical="center" wrapText="1"/>
    </xf>
    <xf numFmtId="4" fontId="52" fillId="0" borderId="0" xfId="4" applyNumberFormat="1" applyFont="1" applyBorder="1" applyAlignment="1">
      <alignment horizontal="right" vertical="center" wrapText="1"/>
    </xf>
    <xf numFmtId="0" fontId="52" fillId="0" borderId="0" xfId="3" quotePrefix="1" applyFont="1" applyBorder="1" applyAlignment="1">
      <alignment horizontal="right" vertical="center" wrapText="1"/>
    </xf>
    <xf numFmtId="0" fontId="47" fillId="0" borderId="0" xfId="0" applyFont="1" applyFill="1" applyBorder="1" applyAlignment="1" applyProtection="1">
      <alignment vertical="center"/>
      <protection locked="0"/>
    </xf>
    <xf numFmtId="0" fontId="48" fillId="0" borderId="0" xfId="0" applyFont="1" applyFill="1" applyBorder="1" applyAlignment="1" applyProtection="1">
      <alignment vertical="center" wrapText="1"/>
      <protection locked="0"/>
    </xf>
    <xf numFmtId="4" fontId="47" fillId="0" borderId="0" xfId="0" applyNumberFormat="1" applyFont="1" applyFill="1" applyBorder="1" applyAlignment="1" applyProtection="1">
      <alignment horizontal="center" vertical="center"/>
      <protection locked="0"/>
    </xf>
    <xf numFmtId="2" fontId="4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3" xfId="5" applyNumberFormat="1" applyFont="1" applyFill="1" applyBorder="1" applyAlignment="1">
      <alignment vertical="center"/>
    </xf>
    <xf numFmtId="164" fontId="47" fillId="0" borderId="3" xfId="5" applyNumberFormat="1" applyFont="1" applyFill="1" applyBorder="1" applyAlignment="1">
      <alignment vertical="center"/>
    </xf>
    <xf numFmtId="164" fontId="49" fillId="0" borderId="3" xfId="5" applyNumberFormat="1" applyFont="1" applyFill="1" applyBorder="1" applyAlignment="1">
      <alignment vertical="center" wrapText="1"/>
    </xf>
    <xf numFmtId="4" fontId="48" fillId="0" borderId="3" xfId="15" applyNumberFormat="1" applyFont="1" applyFill="1" applyBorder="1" applyAlignment="1">
      <alignment vertical="center" wrapText="1"/>
    </xf>
    <xf numFmtId="0" fontId="48" fillId="0" borderId="3" xfId="5" applyFont="1" applyFill="1" applyBorder="1" applyAlignment="1">
      <alignment horizontal="center" vertical="center" wrapText="1"/>
    </xf>
    <xf numFmtId="4" fontId="48" fillId="0" borderId="3" xfId="5" applyNumberFormat="1" applyFont="1" applyBorder="1" applyAlignment="1">
      <alignment vertical="center"/>
    </xf>
    <xf numFmtId="0" fontId="47" fillId="0" borderId="3" xfId="5" applyFont="1" applyBorder="1" applyAlignment="1">
      <alignment vertical="center"/>
    </xf>
    <xf numFmtId="165" fontId="49" fillId="0" borderId="3" xfId="5" applyNumberFormat="1" applyFont="1" applyBorder="1" applyAlignment="1">
      <alignment vertical="center" wrapText="1"/>
    </xf>
    <xf numFmtId="4" fontId="48" fillId="0" borderId="3" xfId="15" applyNumberFormat="1" applyFont="1" applyBorder="1" applyAlignment="1" applyProtection="1">
      <alignment vertical="center"/>
      <protection locked="0"/>
    </xf>
    <xf numFmtId="0" fontId="47" fillId="0" borderId="3" xfId="5" applyFont="1" applyBorder="1" applyAlignment="1">
      <alignment horizontal="center" vertical="center" wrapText="1"/>
    </xf>
    <xf numFmtId="0" fontId="48" fillId="0" borderId="3" xfId="5" applyFont="1" applyFill="1" applyBorder="1" applyAlignment="1">
      <alignment vertical="center"/>
    </xf>
    <xf numFmtId="4" fontId="47" fillId="0" borderId="3" xfId="5" applyNumberFormat="1" applyFont="1" applyBorder="1" applyAlignment="1">
      <alignment horizontal="right" vertical="center"/>
    </xf>
    <xf numFmtId="0" fontId="54" fillId="0" borderId="3" xfId="3" quotePrefix="1" applyFont="1" applyBorder="1" applyAlignment="1">
      <alignment horizontal="center" vertical="center" wrapText="1"/>
    </xf>
    <xf numFmtId="0" fontId="46" fillId="0" borderId="3" xfId="5" applyFont="1" applyBorder="1" applyAlignment="1">
      <alignment horizontal="center" vertical="center" wrapText="1"/>
    </xf>
    <xf numFmtId="4" fontId="47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47" fillId="0" borderId="0" xfId="5" applyNumberFormat="1" applyFont="1" applyAlignment="1">
      <alignment horizontal="right" vertical="center"/>
    </xf>
    <xf numFmtId="0" fontId="47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7" fillId="0" borderId="3" xfId="5" applyNumberFormat="1" applyFont="1" applyBorder="1" applyAlignment="1">
      <alignment horizontal="center" vertical="center"/>
    </xf>
    <xf numFmtId="0" fontId="47" fillId="0" borderId="3" xfId="5" applyFont="1" applyBorder="1" applyAlignment="1">
      <alignment horizontal="right" vertical="center"/>
    </xf>
    <xf numFmtId="0" fontId="48" fillId="0" borderId="3" xfId="5" applyFont="1" applyBorder="1" applyAlignment="1">
      <alignment horizontal="center" vertical="center" wrapText="1"/>
    </xf>
    <xf numFmtId="0" fontId="48" fillId="0" borderId="3" xfId="5" applyFont="1" applyBorder="1" applyAlignment="1">
      <alignment vertical="center"/>
    </xf>
    <xf numFmtId="0" fontId="47" fillId="0" borderId="3" xfId="5" applyFont="1" applyBorder="1" applyAlignment="1">
      <alignment horizontal="center" vertical="center"/>
    </xf>
    <xf numFmtId="0" fontId="47" fillId="0" borderId="3" xfId="5" applyFont="1" applyBorder="1" applyAlignment="1">
      <alignment vertical="center" wrapText="1"/>
    </xf>
    <xf numFmtId="0" fontId="49" fillId="0" borderId="3" xfId="5" applyFont="1" applyBorder="1" applyAlignment="1">
      <alignment vertical="center" wrapText="1"/>
    </xf>
    <xf numFmtId="0" fontId="55" fillId="0" borderId="3" xfId="5" applyFont="1" applyBorder="1" applyAlignment="1">
      <alignment horizontal="center" vertical="center" wrapText="1"/>
    </xf>
    <xf numFmtId="0" fontId="56" fillId="0" borderId="0" xfId="12" applyFont="1" applyBorder="1" applyAlignment="1" applyProtection="1">
      <alignment horizontal="center" vertical="center" wrapText="1"/>
      <protection locked="0"/>
    </xf>
    <xf numFmtId="2" fontId="56" fillId="0" borderId="0" xfId="12" applyNumberFormat="1" applyFont="1" applyBorder="1" applyAlignment="1" applyProtection="1">
      <alignment horizontal="center" vertical="center" wrapText="1"/>
      <protection locked="0"/>
    </xf>
    <xf numFmtId="0" fontId="57" fillId="0" borderId="0" xfId="12" applyFont="1" applyBorder="1" applyAlignment="1" applyProtection="1">
      <alignment vertical="center"/>
      <protection locked="0"/>
    </xf>
    <xf numFmtId="0" fontId="59" fillId="0" borderId="0" xfId="5" applyFont="1" applyAlignment="1">
      <alignment vertical="center"/>
    </xf>
    <xf numFmtId="0" fontId="60" fillId="0" borderId="0" xfId="5" applyFont="1" applyAlignment="1">
      <alignment vertical="center" wrapText="1"/>
    </xf>
    <xf numFmtId="0" fontId="59" fillId="0" borderId="0" xfId="5" applyFont="1" applyAlignment="1">
      <alignment horizontal="right" vertical="center"/>
    </xf>
    <xf numFmtId="0" fontId="59" fillId="0" borderId="0" xfId="5" applyFont="1" applyAlignment="1">
      <alignment horizontal="left" vertical="center"/>
    </xf>
    <xf numFmtId="2" fontId="59" fillId="0" borderId="0" xfId="5" applyNumberFormat="1" applyFont="1" applyBorder="1" applyAlignment="1" applyProtection="1">
      <alignment horizontal="left" vertical="center"/>
      <protection locked="0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0" fontId="16" fillId="0" borderId="23" xfId="14" applyFont="1" applyBorder="1" applyAlignment="1" applyProtection="1">
      <alignment horizontal="left" vertical="center" wrapText="1"/>
      <protection locked="0"/>
    </xf>
    <xf numFmtId="2" fontId="14" fillId="0" borderId="23" xfId="14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/>
    <xf numFmtId="2" fontId="47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61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 applyProtection="1">
      <alignment horizontal="left" vertical="top" wrapText="1"/>
      <protection locked="0"/>
    </xf>
    <xf numFmtId="0" fontId="9" fillId="0" borderId="38" xfId="0" applyFont="1" applyFill="1" applyBorder="1" applyAlignment="1" applyProtection="1">
      <alignment horizontal="left" vertical="top" wrapText="1"/>
      <protection locked="0"/>
    </xf>
    <xf numFmtId="0" fontId="10" fillId="0" borderId="38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4" fontId="24" fillId="0" borderId="0" xfId="14" applyNumberFormat="1" applyFont="1" applyBorder="1" applyAlignment="1" applyProtection="1">
      <alignment horizontal="left" vertical="center"/>
      <protection locked="0"/>
    </xf>
    <xf numFmtId="0" fontId="62" fillId="0" borderId="10" xfId="0" applyFont="1" applyFill="1" applyBorder="1" applyAlignment="1" applyProtection="1">
      <alignment horizontal="left" wrapText="1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2" fontId="14" fillId="0" borderId="6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168" fontId="14" fillId="0" borderId="38" xfId="0" applyNumberFormat="1" applyFont="1" applyFill="1" applyBorder="1" applyAlignment="1">
      <alignment horizontal="center" vertical="center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168" fontId="16" fillId="0" borderId="23" xfId="14" applyNumberFormat="1" applyFont="1" applyFill="1" applyBorder="1" applyAlignment="1">
      <alignment horizontal="center" vertical="center"/>
    </xf>
    <xf numFmtId="168" fontId="16" fillId="0" borderId="3" xfId="14" applyNumberFormat="1" applyFont="1" applyFill="1" applyBorder="1" applyAlignment="1">
      <alignment horizontal="center" vertical="center"/>
    </xf>
    <xf numFmtId="169" fontId="16" fillId="0" borderId="38" xfId="14" applyNumberFormat="1" applyFont="1" applyFill="1" applyBorder="1" applyAlignment="1">
      <alignment horizontal="center" vertical="center"/>
    </xf>
    <xf numFmtId="0" fontId="63" fillId="0" borderId="0" xfId="10" applyFont="1" applyFill="1" applyAlignment="1">
      <alignment horizontal="left" vertical="center"/>
    </xf>
    <xf numFmtId="4" fontId="58" fillId="0" borderId="0" xfId="0" applyNumberFormat="1" applyFont="1" applyBorder="1" applyAlignment="1">
      <alignment vertical="center" wrapText="1"/>
    </xf>
    <xf numFmtId="4" fontId="59" fillId="0" borderId="0" xfId="0" applyNumberFormat="1" applyFont="1" applyBorder="1" applyAlignment="1">
      <alignment vertical="center" wrapText="1"/>
    </xf>
    <xf numFmtId="0" fontId="65" fillId="0" borderId="0" xfId="0" applyFont="1" applyFill="1" applyBorder="1" applyAlignment="1" applyProtection="1">
      <alignment vertical="center"/>
      <protection locked="0"/>
    </xf>
    <xf numFmtId="0" fontId="64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64" fillId="0" borderId="3" xfId="0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71" fontId="14" fillId="0" borderId="6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4" applyFont="1" applyFill="1" applyBorder="1" applyAlignment="1">
      <alignment horizontal="center" wrapText="1"/>
    </xf>
    <xf numFmtId="4" fontId="14" fillId="0" borderId="3" xfId="14" applyNumberFormat="1" applyFont="1" applyFill="1" applyBorder="1" applyAlignment="1">
      <alignment horizontal="right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4" fontId="16" fillId="0" borderId="30" xfId="14" applyNumberFormat="1" applyFont="1" applyFill="1" applyBorder="1" applyAlignment="1">
      <alignment horizontal="center" vertical="center" wrapText="1"/>
    </xf>
    <xf numFmtId="4" fontId="14" fillId="0" borderId="57" xfId="14" applyNumberFormat="1" applyFont="1" applyFill="1" applyBorder="1" applyAlignment="1">
      <alignment horizontal="right" vertical="center" wrapText="1"/>
    </xf>
    <xf numFmtId="4" fontId="14" fillId="0" borderId="29" xfId="14" applyNumberFormat="1" applyFont="1" applyFill="1" applyBorder="1" applyAlignment="1">
      <alignment horizontal="right" vertical="center" wrapText="1"/>
    </xf>
    <xf numFmtId="4" fontId="16" fillId="0" borderId="59" xfId="14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vertical="center"/>
    </xf>
    <xf numFmtId="1" fontId="14" fillId="0" borderId="3" xfId="0" applyNumberFormat="1" applyFont="1" applyFill="1" applyBorder="1" applyAlignment="1" applyProtection="1">
      <alignment horizontal="center" vertical="center"/>
      <protection locked="0"/>
    </xf>
    <xf numFmtId="1" fontId="14" fillId="0" borderId="3" xfId="14" applyNumberFormat="1" applyFont="1" applyFill="1" applyBorder="1" applyAlignment="1" applyProtection="1">
      <alignment horizontal="center" vertical="center"/>
      <protection locked="0"/>
    </xf>
    <xf numFmtId="4" fontId="14" fillId="0" borderId="6" xfId="14" applyNumberFormat="1" applyFont="1" applyBorder="1" applyAlignment="1" applyProtection="1">
      <alignment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6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Fill="1" applyBorder="1" applyAlignment="1" applyProtection="1">
      <alignment horizontal="right" vertical="top" wrapText="1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38" xfId="0" applyFont="1" applyFill="1" applyBorder="1" applyAlignment="1" applyProtection="1">
      <alignment vertical="center"/>
      <protection locked="0"/>
    </xf>
    <xf numFmtId="0" fontId="14" fillId="0" borderId="23" xfId="0" applyFont="1" applyFill="1" applyBorder="1" applyAlignment="1">
      <alignment horizontal="left"/>
    </xf>
    <xf numFmtId="0" fontId="66" fillId="0" borderId="0" xfId="0" applyFont="1" applyFill="1" applyBorder="1" applyAlignment="1" applyProtection="1">
      <alignment vertical="center" wrapText="1"/>
      <protection locked="0"/>
    </xf>
    <xf numFmtId="16" fontId="66" fillId="0" borderId="0" xfId="0" quotePrefix="1" applyNumberFormat="1" applyFont="1" applyFill="1" applyBorder="1" applyAlignment="1" applyProtection="1">
      <alignment horizontal="left" vertical="center" wrapText="1"/>
      <protection locked="0"/>
    </xf>
    <xf numFmtId="0" fontId="66" fillId="0" borderId="0" xfId="0" applyFont="1" applyFill="1" applyBorder="1" applyAlignment="1" applyProtection="1">
      <alignment horizontal="left" vertical="center" wrapText="1"/>
      <protection locked="0"/>
    </xf>
    <xf numFmtId="0" fontId="66" fillId="0" borderId="0" xfId="14" applyFont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6" fillId="0" borderId="23" xfId="0" applyFont="1" applyFill="1" applyBorder="1" applyAlignment="1" applyProtection="1">
      <alignment horizontal="left" vertical="top" wrapText="1"/>
      <protection locked="0"/>
    </xf>
    <xf numFmtId="2" fontId="16" fillId="0" borderId="23" xfId="38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horizontal="center" vertical="center"/>
      <protection locked="0"/>
    </xf>
    <xf numFmtId="0" fontId="16" fillId="0" borderId="23" xfId="0" applyFont="1" applyFill="1" applyBorder="1" applyAlignment="1" applyProtection="1">
      <alignment vertical="top" wrapText="1"/>
      <protection locked="0"/>
    </xf>
    <xf numFmtId="166" fontId="14" fillId="0" borderId="23" xfId="0" applyNumberFormat="1" applyFont="1" applyFill="1" applyBorder="1" applyAlignment="1" applyProtection="1">
      <alignment horizontal="center" vertical="top" wrapText="1"/>
      <protection locked="0"/>
    </xf>
    <xf numFmtId="4" fontId="14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24" xfId="0" applyNumberFormat="1" applyFont="1" applyFill="1" applyBorder="1" applyAlignment="1" applyProtection="1">
      <alignment horizontal="center" vertical="center"/>
    </xf>
    <xf numFmtId="4" fontId="14" fillId="0" borderId="3" xfId="14" applyNumberFormat="1" applyFont="1" applyFill="1" applyBorder="1" applyAlignment="1">
      <alignment horizontal="center" vertical="center" wrapText="1" shrinkToFit="1"/>
    </xf>
    <xf numFmtId="4" fontId="14" fillId="0" borderId="4" xfId="14" applyNumberFormat="1" applyFont="1" applyFill="1" applyBorder="1" applyAlignment="1">
      <alignment horizontal="center" vertical="center" wrapText="1" shrinkToFit="1"/>
    </xf>
    <xf numFmtId="2" fontId="23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/>
    <xf numFmtId="4" fontId="22" fillId="0" borderId="0" xfId="14" applyNumberFormat="1" applyFont="1" applyFill="1" applyAlignment="1">
      <alignment vertical="center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14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/>
    <xf numFmtId="0" fontId="48" fillId="0" borderId="5" xfId="0" applyFont="1" applyFill="1" applyBorder="1" applyAlignment="1" applyProtection="1">
      <alignment horizontal="left" vertical="top" wrapText="1"/>
      <protection locked="0"/>
    </xf>
    <xf numFmtId="168" fontId="14" fillId="0" borderId="3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 applyProtection="1">
      <alignment horizontal="center" vertical="top" wrapText="1"/>
      <protection locked="0"/>
    </xf>
    <xf numFmtId="0" fontId="47" fillId="0" borderId="0" xfId="36" applyFont="1" applyAlignment="1">
      <alignment vertical="center"/>
    </xf>
    <xf numFmtId="166" fontId="14" fillId="0" borderId="5" xfId="8" applyNumberFormat="1" applyFont="1" applyFill="1" applyBorder="1" applyAlignment="1" applyProtection="1">
      <alignment horizontal="center" vertical="center"/>
      <protection locked="0"/>
    </xf>
    <xf numFmtId="0" fontId="16" fillId="0" borderId="28" xfId="14" applyFont="1" applyBorder="1" applyAlignment="1" applyProtection="1">
      <alignment vertical="center"/>
      <protection locked="0"/>
    </xf>
    <xf numFmtId="0" fontId="14" fillId="0" borderId="10" xfId="14" applyFont="1" applyBorder="1" applyAlignment="1" applyProtection="1">
      <alignment vertical="center"/>
      <protection locked="0"/>
    </xf>
    <xf numFmtId="0" fontId="14" fillId="0" borderId="3" xfId="14" applyFont="1" applyBorder="1" applyAlignment="1" applyProtection="1">
      <alignment vertical="center"/>
      <protection locked="0"/>
    </xf>
    <xf numFmtId="0" fontId="67" fillId="0" borderId="0" xfId="0" applyFont="1" applyFill="1" applyBorder="1" applyAlignment="1" applyProtection="1">
      <alignment horizontal="left" vertical="top"/>
      <protection locked="0"/>
    </xf>
    <xf numFmtId="0" fontId="17" fillId="0" borderId="15" xfId="37" applyFont="1" applyFill="1" applyBorder="1" applyAlignment="1">
      <alignment horizontal="center" vertical="center" wrapText="1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65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65" fillId="0" borderId="3" xfId="0" applyFont="1" applyFill="1" applyBorder="1" applyAlignment="1" applyProtection="1">
      <alignment horizontal="left" vertical="center" wrapText="1"/>
      <protection locked="0"/>
    </xf>
    <xf numFmtId="0" fontId="69" fillId="0" borderId="3" xfId="0" applyFont="1" applyFill="1" applyBorder="1" applyAlignment="1" applyProtection="1">
      <alignment horizontal="left" wrapText="1"/>
      <protection locked="0"/>
    </xf>
    <xf numFmtId="168" fontId="16" fillId="0" borderId="6" xfId="0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70" fillId="0" borderId="3" xfId="0" applyFont="1" applyBorder="1" applyAlignment="1" applyProtection="1">
      <alignment horizontal="left" vertical="center" wrapText="1"/>
      <protection locked="0"/>
    </xf>
    <xf numFmtId="2" fontId="70" fillId="0" borderId="3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Alignment="1">
      <alignment wrapText="1"/>
    </xf>
    <xf numFmtId="4" fontId="16" fillId="0" borderId="0" xfId="0" applyNumberFormat="1" applyFont="1" applyBorder="1" applyAlignment="1">
      <alignment vertical="center"/>
    </xf>
    <xf numFmtId="0" fontId="52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5" fillId="0" borderId="3" xfId="5" applyFont="1" applyBorder="1" applyAlignment="1">
      <alignment horizontal="center" vertical="center"/>
    </xf>
    <xf numFmtId="0" fontId="48" fillId="0" borderId="3" xfId="5" applyFont="1" applyFill="1" applyBorder="1" applyAlignment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7" fillId="0" borderId="31" xfId="37" applyFont="1" applyFill="1" applyBorder="1" applyAlignment="1">
      <alignment horizontal="center" vertical="center" wrapText="1"/>
    </xf>
    <xf numFmtId="0" fontId="17" fillId="0" borderId="15" xfId="37" applyFont="1" applyFill="1" applyBorder="1" applyAlignment="1">
      <alignment horizontal="center" vertical="center" wrapText="1"/>
    </xf>
    <xf numFmtId="0" fontId="17" fillId="0" borderId="28" xfId="37" applyFont="1" applyFill="1" applyBorder="1" applyAlignment="1">
      <alignment horizontal="center" vertical="center" wrapText="1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0" fontId="17" fillId="0" borderId="39" xfId="37" applyFont="1" applyFill="1" applyBorder="1" applyAlignment="1">
      <alignment horizontal="center" vertical="center" wrapText="1"/>
    </xf>
    <xf numFmtId="0" fontId="17" fillId="0" borderId="41" xfId="37" applyFont="1" applyFill="1" applyBorder="1" applyAlignment="1">
      <alignment horizontal="center" vertical="center" wrapText="1"/>
    </xf>
    <xf numFmtId="0" fontId="17" fillId="0" borderId="52" xfId="37" applyFont="1" applyFill="1" applyBorder="1" applyAlignment="1">
      <alignment horizontal="center" vertical="center" wrapText="1"/>
    </xf>
    <xf numFmtId="0" fontId="68" fillId="0" borderId="3" xfId="0" applyFont="1" applyFill="1" applyBorder="1" applyAlignment="1" applyProtection="1">
      <alignment horizontal="center" vertical="center"/>
      <protection locked="0"/>
    </xf>
    <xf numFmtId="0" fontId="64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wrapText="1"/>
    </xf>
    <xf numFmtId="0" fontId="22" fillId="0" borderId="42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/>
    </xf>
    <xf numFmtId="0" fontId="22" fillId="0" borderId="1" xfId="14" applyFont="1" applyFill="1" applyBorder="1" applyAlignment="1">
      <alignment horizontal="left" vertical="center" wrapText="1"/>
    </xf>
    <xf numFmtId="0" fontId="22" fillId="0" borderId="42" xfId="14" applyFont="1" applyFill="1" applyBorder="1" applyAlignment="1">
      <alignment horizontal="left" vertical="center" wrapText="1"/>
    </xf>
    <xf numFmtId="0" fontId="22" fillId="0" borderId="2" xfId="14" applyFont="1" applyFill="1" applyBorder="1" applyAlignment="1">
      <alignment horizontal="left" vertical="center" wrapText="1"/>
    </xf>
    <xf numFmtId="0" fontId="22" fillId="0" borderId="1" xfId="14" applyFont="1" applyFill="1" applyBorder="1" applyAlignment="1" applyProtection="1">
      <alignment horizontal="left" vertical="center" wrapText="1"/>
      <protection locked="0"/>
    </xf>
    <xf numFmtId="0" fontId="22" fillId="0" borderId="42" xfId="14" applyFont="1" applyFill="1" applyBorder="1" applyAlignment="1" applyProtection="1">
      <alignment horizontal="left" vertical="center" wrapText="1"/>
      <protection locked="0"/>
    </xf>
    <xf numFmtId="0" fontId="22" fillId="0" borderId="2" xfId="14" applyFont="1" applyFill="1" applyBorder="1" applyAlignment="1" applyProtection="1">
      <alignment horizontal="left" vertical="center" wrapText="1"/>
      <protection locked="0"/>
    </xf>
    <xf numFmtId="0" fontId="66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58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4" fillId="0" borderId="0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4" fontId="9" fillId="0" borderId="49" xfId="0" applyNumberFormat="1" applyFont="1" applyFill="1" applyBorder="1" applyAlignment="1" applyProtection="1">
      <alignment horizontal="center" vertical="center"/>
      <protection locked="0"/>
    </xf>
    <xf numFmtId="4" fontId="9" fillId="0" borderId="60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2" fontId="4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4" xfId="0" applyNumberFormat="1" applyFont="1" applyFill="1" applyBorder="1" applyAlignment="1" applyProtection="1">
      <alignment horizontal="center" vertical="center" wrapText="1"/>
      <protection locked="0"/>
    </xf>
  </cellXfs>
  <cellStyles count="39">
    <cellStyle name=" 1" xfId="1"/>
    <cellStyle name=" 1 2" xfId="2"/>
    <cellStyle name="S13" xfId="3"/>
    <cellStyle name="S14" xfId="4"/>
    <cellStyle name="Гиперссылка" xfId="16" builtinId="8"/>
    <cellStyle name="Гиперссылка 2" xfId="23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0"/>
    <cellStyle name="Обычный 5 3" xfId="22"/>
    <cellStyle name="Обычный 5 3 2" xfId="31"/>
    <cellStyle name="Обычный 5 4" xfId="24"/>
    <cellStyle name="Обычный 5 4 2" xfId="32"/>
    <cellStyle name="Обычный 5 5" xfId="26"/>
    <cellStyle name="Обычный 5 5 2" xfId="34"/>
    <cellStyle name="Обычный 5 6" xfId="28"/>
    <cellStyle name="Обычный 6" xfId="17"/>
    <cellStyle name="Обычный 6 2" xfId="25"/>
    <cellStyle name="Обычный 6 2 2" xfId="33"/>
    <cellStyle name="Обычный 6 3" xfId="27"/>
    <cellStyle name="Обычный 6 3 2" xfId="35"/>
    <cellStyle name="Обычный 6 4" xfId="29"/>
    <cellStyle name="Обычный_SMETA_1" xfId="10"/>
    <cellStyle name="Обычный_SMETA_1 2" xfId="37"/>
    <cellStyle name="Обычный_дендрология 2009 и 2010 г." xfId="11"/>
    <cellStyle name="Обычный_Обследования НИИОСП 2" xfId="36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" xfId="38" builtinId="3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19</xdr:row>
      <xdr:rowOff>169334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3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7;&#1052;&#1045;&#1058;&#1053;&#1067;&#1049;%20&#1089;&#1077;&#1082;&#1090;&#1086;&#1088;\&#1057;&#1040;&#1055;\SAP%20&#1090;&#1077;&#1082;&#1091;&#1097;&#1080;&#1077;\7975\7975%20%20%20&#1061;&#1086;&#1088;&#1086;&#1096;&#1077;&#1074;&#1089;&#1082;&#1086;&#1077;%20&#1096;.,%20&#1074;&#1083;.%2025-&#1089;&#1084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С Р"/>
      <sheetName val="Т.с."/>
      <sheetName val="Геол, экол, геод"/>
      <sheetName val="ООС+Тр"/>
      <sheetName val="ПОЖ"/>
      <sheetName val="СОГЛ"/>
      <sheetName val="РД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1">
          <cell r="H21">
            <v>67849.2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BreakPreview" zoomScale="85" zoomScaleNormal="100" zoomScaleSheetLayoutView="85" workbookViewId="0">
      <selection activeCell="E26" sqref="E26"/>
    </sheetView>
  </sheetViews>
  <sheetFormatPr defaultColWidth="9.140625" defaultRowHeight="15.75" x14ac:dyDescent="0.2"/>
  <cols>
    <col min="1" max="1" width="4.7109375" style="403" customWidth="1"/>
    <col min="2" max="2" width="44.85546875" style="403" customWidth="1"/>
    <col min="3" max="3" width="14.5703125" style="405" customWidth="1"/>
    <col min="4" max="4" width="16.28515625" style="403" customWidth="1"/>
    <col min="5" max="5" width="38.7109375" style="404" customWidth="1"/>
    <col min="6" max="6" width="12.7109375" style="403" customWidth="1"/>
    <col min="7" max="7" width="17.42578125" style="403" customWidth="1"/>
    <col min="8" max="8" width="11.28515625" style="403" bestFit="1" customWidth="1"/>
    <col min="9" max="256" width="9.140625" style="403"/>
    <col min="257" max="257" width="4.7109375" style="403" customWidth="1"/>
    <col min="258" max="258" width="44.85546875" style="403" customWidth="1"/>
    <col min="259" max="259" width="14.5703125" style="403" customWidth="1"/>
    <col min="260" max="260" width="16.28515625" style="403" customWidth="1"/>
    <col min="261" max="261" width="38.7109375" style="403" customWidth="1"/>
    <col min="262" max="262" width="12.7109375" style="403" customWidth="1"/>
    <col min="263" max="263" width="17.42578125" style="403" customWidth="1"/>
    <col min="264" max="264" width="11.28515625" style="403" bestFit="1" customWidth="1"/>
    <col min="265" max="512" width="9.140625" style="403"/>
    <col min="513" max="513" width="4.7109375" style="403" customWidth="1"/>
    <col min="514" max="514" width="44.85546875" style="403" customWidth="1"/>
    <col min="515" max="515" width="14.5703125" style="403" customWidth="1"/>
    <col min="516" max="516" width="16.28515625" style="403" customWidth="1"/>
    <col min="517" max="517" width="38.7109375" style="403" customWidth="1"/>
    <col min="518" max="518" width="12.7109375" style="403" customWidth="1"/>
    <col min="519" max="519" width="17.42578125" style="403" customWidth="1"/>
    <col min="520" max="520" width="11.28515625" style="403" bestFit="1" customWidth="1"/>
    <col min="521" max="768" width="9.140625" style="403"/>
    <col min="769" max="769" width="4.7109375" style="403" customWidth="1"/>
    <col min="770" max="770" width="44.85546875" style="403" customWidth="1"/>
    <col min="771" max="771" width="14.5703125" style="403" customWidth="1"/>
    <col min="772" max="772" width="16.28515625" style="403" customWidth="1"/>
    <col min="773" max="773" width="38.7109375" style="403" customWidth="1"/>
    <col min="774" max="774" width="12.7109375" style="403" customWidth="1"/>
    <col min="775" max="775" width="17.42578125" style="403" customWidth="1"/>
    <col min="776" max="776" width="11.28515625" style="403" bestFit="1" customWidth="1"/>
    <col min="777" max="1024" width="9.140625" style="403"/>
    <col min="1025" max="1025" width="4.7109375" style="403" customWidth="1"/>
    <col min="1026" max="1026" width="44.85546875" style="403" customWidth="1"/>
    <col min="1027" max="1027" width="14.5703125" style="403" customWidth="1"/>
    <col min="1028" max="1028" width="16.28515625" style="403" customWidth="1"/>
    <col min="1029" max="1029" width="38.7109375" style="403" customWidth="1"/>
    <col min="1030" max="1030" width="12.7109375" style="403" customWidth="1"/>
    <col min="1031" max="1031" width="17.42578125" style="403" customWidth="1"/>
    <col min="1032" max="1032" width="11.28515625" style="403" bestFit="1" customWidth="1"/>
    <col min="1033" max="1280" width="9.140625" style="403"/>
    <col min="1281" max="1281" width="4.7109375" style="403" customWidth="1"/>
    <col min="1282" max="1282" width="44.85546875" style="403" customWidth="1"/>
    <col min="1283" max="1283" width="14.5703125" style="403" customWidth="1"/>
    <col min="1284" max="1284" width="16.28515625" style="403" customWidth="1"/>
    <col min="1285" max="1285" width="38.7109375" style="403" customWidth="1"/>
    <col min="1286" max="1286" width="12.7109375" style="403" customWidth="1"/>
    <col min="1287" max="1287" width="17.42578125" style="403" customWidth="1"/>
    <col min="1288" max="1288" width="11.28515625" style="403" bestFit="1" customWidth="1"/>
    <col min="1289" max="1536" width="9.140625" style="403"/>
    <col min="1537" max="1537" width="4.7109375" style="403" customWidth="1"/>
    <col min="1538" max="1538" width="44.85546875" style="403" customWidth="1"/>
    <col min="1539" max="1539" width="14.5703125" style="403" customWidth="1"/>
    <col min="1540" max="1540" width="16.28515625" style="403" customWidth="1"/>
    <col min="1541" max="1541" width="38.7109375" style="403" customWidth="1"/>
    <col min="1542" max="1542" width="12.7109375" style="403" customWidth="1"/>
    <col min="1543" max="1543" width="17.42578125" style="403" customWidth="1"/>
    <col min="1544" max="1544" width="11.28515625" style="403" bestFit="1" customWidth="1"/>
    <col min="1545" max="1792" width="9.140625" style="403"/>
    <col min="1793" max="1793" width="4.7109375" style="403" customWidth="1"/>
    <col min="1794" max="1794" width="44.85546875" style="403" customWidth="1"/>
    <col min="1795" max="1795" width="14.5703125" style="403" customWidth="1"/>
    <col min="1796" max="1796" width="16.28515625" style="403" customWidth="1"/>
    <col min="1797" max="1797" width="38.7109375" style="403" customWidth="1"/>
    <col min="1798" max="1798" width="12.7109375" style="403" customWidth="1"/>
    <col min="1799" max="1799" width="17.42578125" style="403" customWidth="1"/>
    <col min="1800" max="1800" width="11.28515625" style="403" bestFit="1" customWidth="1"/>
    <col min="1801" max="2048" width="9.140625" style="403"/>
    <col min="2049" max="2049" width="4.7109375" style="403" customWidth="1"/>
    <col min="2050" max="2050" width="44.85546875" style="403" customWidth="1"/>
    <col min="2051" max="2051" width="14.5703125" style="403" customWidth="1"/>
    <col min="2052" max="2052" width="16.28515625" style="403" customWidth="1"/>
    <col min="2053" max="2053" width="38.7109375" style="403" customWidth="1"/>
    <col min="2054" max="2054" width="12.7109375" style="403" customWidth="1"/>
    <col min="2055" max="2055" width="17.42578125" style="403" customWidth="1"/>
    <col min="2056" max="2056" width="11.28515625" style="403" bestFit="1" customWidth="1"/>
    <col min="2057" max="2304" width="9.140625" style="403"/>
    <col min="2305" max="2305" width="4.7109375" style="403" customWidth="1"/>
    <col min="2306" max="2306" width="44.85546875" style="403" customWidth="1"/>
    <col min="2307" max="2307" width="14.5703125" style="403" customWidth="1"/>
    <col min="2308" max="2308" width="16.28515625" style="403" customWidth="1"/>
    <col min="2309" max="2309" width="38.7109375" style="403" customWidth="1"/>
    <col min="2310" max="2310" width="12.7109375" style="403" customWidth="1"/>
    <col min="2311" max="2311" width="17.42578125" style="403" customWidth="1"/>
    <col min="2312" max="2312" width="11.28515625" style="403" bestFit="1" customWidth="1"/>
    <col min="2313" max="2560" width="9.140625" style="403"/>
    <col min="2561" max="2561" width="4.7109375" style="403" customWidth="1"/>
    <col min="2562" max="2562" width="44.85546875" style="403" customWidth="1"/>
    <col min="2563" max="2563" width="14.5703125" style="403" customWidth="1"/>
    <col min="2564" max="2564" width="16.28515625" style="403" customWidth="1"/>
    <col min="2565" max="2565" width="38.7109375" style="403" customWidth="1"/>
    <col min="2566" max="2566" width="12.7109375" style="403" customWidth="1"/>
    <col min="2567" max="2567" width="17.42578125" style="403" customWidth="1"/>
    <col min="2568" max="2568" width="11.28515625" style="403" bestFit="1" customWidth="1"/>
    <col min="2569" max="2816" width="9.140625" style="403"/>
    <col min="2817" max="2817" width="4.7109375" style="403" customWidth="1"/>
    <col min="2818" max="2818" width="44.85546875" style="403" customWidth="1"/>
    <col min="2819" max="2819" width="14.5703125" style="403" customWidth="1"/>
    <col min="2820" max="2820" width="16.28515625" style="403" customWidth="1"/>
    <col min="2821" max="2821" width="38.7109375" style="403" customWidth="1"/>
    <col min="2822" max="2822" width="12.7109375" style="403" customWidth="1"/>
    <col min="2823" max="2823" width="17.42578125" style="403" customWidth="1"/>
    <col min="2824" max="2824" width="11.28515625" style="403" bestFit="1" customWidth="1"/>
    <col min="2825" max="3072" width="9.140625" style="403"/>
    <col min="3073" max="3073" width="4.7109375" style="403" customWidth="1"/>
    <col min="3074" max="3074" width="44.85546875" style="403" customWidth="1"/>
    <col min="3075" max="3075" width="14.5703125" style="403" customWidth="1"/>
    <col min="3076" max="3076" width="16.28515625" style="403" customWidth="1"/>
    <col min="3077" max="3077" width="38.7109375" style="403" customWidth="1"/>
    <col min="3078" max="3078" width="12.7109375" style="403" customWidth="1"/>
    <col min="3079" max="3079" width="17.42578125" style="403" customWidth="1"/>
    <col min="3080" max="3080" width="11.28515625" style="403" bestFit="1" customWidth="1"/>
    <col min="3081" max="3328" width="9.140625" style="403"/>
    <col min="3329" max="3329" width="4.7109375" style="403" customWidth="1"/>
    <col min="3330" max="3330" width="44.85546875" style="403" customWidth="1"/>
    <col min="3331" max="3331" width="14.5703125" style="403" customWidth="1"/>
    <col min="3332" max="3332" width="16.28515625" style="403" customWidth="1"/>
    <col min="3333" max="3333" width="38.7109375" style="403" customWidth="1"/>
    <col min="3334" max="3334" width="12.7109375" style="403" customWidth="1"/>
    <col min="3335" max="3335" width="17.42578125" style="403" customWidth="1"/>
    <col min="3336" max="3336" width="11.28515625" style="403" bestFit="1" customWidth="1"/>
    <col min="3337" max="3584" width="9.140625" style="403"/>
    <col min="3585" max="3585" width="4.7109375" style="403" customWidth="1"/>
    <col min="3586" max="3586" width="44.85546875" style="403" customWidth="1"/>
    <col min="3587" max="3587" width="14.5703125" style="403" customWidth="1"/>
    <col min="3588" max="3588" width="16.28515625" style="403" customWidth="1"/>
    <col min="3589" max="3589" width="38.7109375" style="403" customWidth="1"/>
    <col min="3590" max="3590" width="12.7109375" style="403" customWidth="1"/>
    <col min="3591" max="3591" width="17.42578125" style="403" customWidth="1"/>
    <col min="3592" max="3592" width="11.28515625" style="403" bestFit="1" customWidth="1"/>
    <col min="3593" max="3840" width="9.140625" style="403"/>
    <col min="3841" max="3841" width="4.7109375" style="403" customWidth="1"/>
    <col min="3842" max="3842" width="44.85546875" style="403" customWidth="1"/>
    <col min="3843" max="3843" width="14.5703125" style="403" customWidth="1"/>
    <col min="3844" max="3844" width="16.28515625" style="403" customWidth="1"/>
    <col min="3845" max="3845" width="38.7109375" style="403" customWidth="1"/>
    <col min="3846" max="3846" width="12.7109375" style="403" customWidth="1"/>
    <col min="3847" max="3847" width="17.42578125" style="403" customWidth="1"/>
    <col min="3848" max="3848" width="11.28515625" style="403" bestFit="1" customWidth="1"/>
    <col min="3849" max="4096" width="9.140625" style="403"/>
    <col min="4097" max="4097" width="4.7109375" style="403" customWidth="1"/>
    <col min="4098" max="4098" width="44.85546875" style="403" customWidth="1"/>
    <col min="4099" max="4099" width="14.5703125" style="403" customWidth="1"/>
    <col min="4100" max="4100" width="16.28515625" style="403" customWidth="1"/>
    <col min="4101" max="4101" width="38.7109375" style="403" customWidth="1"/>
    <col min="4102" max="4102" width="12.7109375" style="403" customWidth="1"/>
    <col min="4103" max="4103" width="17.42578125" style="403" customWidth="1"/>
    <col min="4104" max="4104" width="11.28515625" style="403" bestFit="1" customWidth="1"/>
    <col min="4105" max="4352" width="9.140625" style="403"/>
    <col min="4353" max="4353" width="4.7109375" style="403" customWidth="1"/>
    <col min="4354" max="4354" width="44.85546875" style="403" customWidth="1"/>
    <col min="4355" max="4355" width="14.5703125" style="403" customWidth="1"/>
    <col min="4356" max="4356" width="16.28515625" style="403" customWidth="1"/>
    <col min="4357" max="4357" width="38.7109375" style="403" customWidth="1"/>
    <col min="4358" max="4358" width="12.7109375" style="403" customWidth="1"/>
    <col min="4359" max="4359" width="17.42578125" style="403" customWidth="1"/>
    <col min="4360" max="4360" width="11.28515625" style="403" bestFit="1" customWidth="1"/>
    <col min="4361" max="4608" width="9.140625" style="403"/>
    <col min="4609" max="4609" width="4.7109375" style="403" customWidth="1"/>
    <col min="4610" max="4610" width="44.85546875" style="403" customWidth="1"/>
    <col min="4611" max="4611" width="14.5703125" style="403" customWidth="1"/>
    <col min="4612" max="4612" width="16.28515625" style="403" customWidth="1"/>
    <col min="4613" max="4613" width="38.7109375" style="403" customWidth="1"/>
    <col min="4614" max="4614" width="12.7109375" style="403" customWidth="1"/>
    <col min="4615" max="4615" width="17.42578125" style="403" customWidth="1"/>
    <col min="4616" max="4616" width="11.28515625" style="403" bestFit="1" customWidth="1"/>
    <col min="4617" max="4864" width="9.140625" style="403"/>
    <col min="4865" max="4865" width="4.7109375" style="403" customWidth="1"/>
    <col min="4866" max="4866" width="44.85546875" style="403" customWidth="1"/>
    <col min="4867" max="4867" width="14.5703125" style="403" customWidth="1"/>
    <col min="4868" max="4868" width="16.28515625" style="403" customWidth="1"/>
    <col min="4869" max="4869" width="38.7109375" style="403" customWidth="1"/>
    <col min="4870" max="4870" width="12.7109375" style="403" customWidth="1"/>
    <col min="4871" max="4871" width="17.42578125" style="403" customWidth="1"/>
    <col min="4872" max="4872" width="11.28515625" style="403" bestFit="1" customWidth="1"/>
    <col min="4873" max="5120" width="9.140625" style="403"/>
    <col min="5121" max="5121" width="4.7109375" style="403" customWidth="1"/>
    <col min="5122" max="5122" width="44.85546875" style="403" customWidth="1"/>
    <col min="5123" max="5123" width="14.5703125" style="403" customWidth="1"/>
    <col min="5124" max="5124" width="16.28515625" style="403" customWidth="1"/>
    <col min="5125" max="5125" width="38.7109375" style="403" customWidth="1"/>
    <col min="5126" max="5126" width="12.7109375" style="403" customWidth="1"/>
    <col min="5127" max="5127" width="17.42578125" style="403" customWidth="1"/>
    <col min="5128" max="5128" width="11.28515625" style="403" bestFit="1" customWidth="1"/>
    <col min="5129" max="5376" width="9.140625" style="403"/>
    <col min="5377" max="5377" width="4.7109375" style="403" customWidth="1"/>
    <col min="5378" max="5378" width="44.85546875" style="403" customWidth="1"/>
    <col min="5379" max="5379" width="14.5703125" style="403" customWidth="1"/>
    <col min="5380" max="5380" width="16.28515625" style="403" customWidth="1"/>
    <col min="5381" max="5381" width="38.7109375" style="403" customWidth="1"/>
    <col min="5382" max="5382" width="12.7109375" style="403" customWidth="1"/>
    <col min="5383" max="5383" width="17.42578125" style="403" customWidth="1"/>
    <col min="5384" max="5384" width="11.28515625" style="403" bestFit="1" customWidth="1"/>
    <col min="5385" max="5632" width="9.140625" style="403"/>
    <col min="5633" max="5633" width="4.7109375" style="403" customWidth="1"/>
    <col min="5634" max="5634" width="44.85546875" style="403" customWidth="1"/>
    <col min="5635" max="5635" width="14.5703125" style="403" customWidth="1"/>
    <col min="5636" max="5636" width="16.28515625" style="403" customWidth="1"/>
    <col min="5637" max="5637" width="38.7109375" style="403" customWidth="1"/>
    <col min="5638" max="5638" width="12.7109375" style="403" customWidth="1"/>
    <col min="5639" max="5639" width="17.42578125" style="403" customWidth="1"/>
    <col min="5640" max="5640" width="11.28515625" style="403" bestFit="1" customWidth="1"/>
    <col min="5641" max="5888" width="9.140625" style="403"/>
    <col min="5889" max="5889" width="4.7109375" style="403" customWidth="1"/>
    <col min="5890" max="5890" width="44.85546875" style="403" customWidth="1"/>
    <col min="5891" max="5891" width="14.5703125" style="403" customWidth="1"/>
    <col min="5892" max="5892" width="16.28515625" style="403" customWidth="1"/>
    <col min="5893" max="5893" width="38.7109375" style="403" customWidth="1"/>
    <col min="5894" max="5894" width="12.7109375" style="403" customWidth="1"/>
    <col min="5895" max="5895" width="17.42578125" style="403" customWidth="1"/>
    <col min="5896" max="5896" width="11.28515625" style="403" bestFit="1" customWidth="1"/>
    <col min="5897" max="6144" width="9.140625" style="403"/>
    <col min="6145" max="6145" width="4.7109375" style="403" customWidth="1"/>
    <col min="6146" max="6146" width="44.85546875" style="403" customWidth="1"/>
    <col min="6147" max="6147" width="14.5703125" style="403" customWidth="1"/>
    <col min="6148" max="6148" width="16.28515625" style="403" customWidth="1"/>
    <col min="6149" max="6149" width="38.7109375" style="403" customWidth="1"/>
    <col min="6150" max="6150" width="12.7109375" style="403" customWidth="1"/>
    <col min="6151" max="6151" width="17.42578125" style="403" customWidth="1"/>
    <col min="6152" max="6152" width="11.28515625" style="403" bestFit="1" customWidth="1"/>
    <col min="6153" max="6400" width="9.140625" style="403"/>
    <col min="6401" max="6401" width="4.7109375" style="403" customWidth="1"/>
    <col min="6402" max="6402" width="44.85546875" style="403" customWidth="1"/>
    <col min="6403" max="6403" width="14.5703125" style="403" customWidth="1"/>
    <col min="6404" max="6404" width="16.28515625" style="403" customWidth="1"/>
    <col min="6405" max="6405" width="38.7109375" style="403" customWidth="1"/>
    <col min="6406" max="6406" width="12.7109375" style="403" customWidth="1"/>
    <col min="6407" max="6407" width="17.42578125" style="403" customWidth="1"/>
    <col min="6408" max="6408" width="11.28515625" style="403" bestFit="1" customWidth="1"/>
    <col min="6409" max="6656" width="9.140625" style="403"/>
    <col min="6657" max="6657" width="4.7109375" style="403" customWidth="1"/>
    <col min="6658" max="6658" width="44.85546875" style="403" customWidth="1"/>
    <col min="6659" max="6659" width="14.5703125" style="403" customWidth="1"/>
    <col min="6660" max="6660" width="16.28515625" style="403" customWidth="1"/>
    <col min="6661" max="6661" width="38.7109375" style="403" customWidth="1"/>
    <col min="6662" max="6662" width="12.7109375" style="403" customWidth="1"/>
    <col min="6663" max="6663" width="17.42578125" style="403" customWidth="1"/>
    <col min="6664" max="6664" width="11.28515625" style="403" bestFit="1" customWidth="1"/>
    <col min="6665" max="6912" width="9.140625" style="403"/>
    <col min="6913" max="6913" width="4.7109375" style="403" customWidth="1"/>
    <col min="6914" max="6914" width="44.85546875" style="403" customWidth="1"/>
    <col min="6915" max="6915" width="14.5703125" style="403" customWidth="1"/>
    <col min="6916" max="6916" width="16.28515625" style="403" customWidth="1"/>
    <col min="6917" max="6917" width="38.7109375" style="403" customWidth="1"/>
    <col min="6918" max="6918" width="12.7109375" style="403" customWidth="1"/>
    <col min="6919" max="6919" width="17.42578125" style="403" customWidth="1"/>
    <col min="6920" max="6920" width="11.28515625" style="403" bestFit="1" customWidth="1"/>
    <col min="6921" max="7168" width="9.140625" style="403"/>
    <col min="7169" max="7169" width="4.7109375" style="403" customWidth="1"/>
    <col min="7170" max="7170" width="44.85546875" style="403" customWidth="1"/>
    <col min="7171" max="7171" width="14.5703125" style="403" customWidth="1"/>
    <col min="7172" max="7172" width="16.28515625" style="403" customWidth="1"/>
    <col min="7173" max="7173" width="38.7109375" style="403" customWidth="1"/>
    <col min="7174" max="7174" width="12.7109375" style="403" customWidth="1"/>
    <col min="7175" max="7175" width="17.42578125" style="403" customWidth="1"/>
    <col min="7176" max="7176" width="11.28515625" style="403" bestFit="1" customWidth="1"/>
    <col min="7177" max="7424" width="9.140625" style="403"/>
    <col min="7425" max="7425" width="4.7109375" style="403" customWidth="1"/>
    <col min="7426" max="7426" width="44.85546875" style="403" customWidth="1"/>
    <col min="7427" max="7427" width="14.5703125" style="403" customWidth="1"/>
    <col min="7428" max="7428" width="16.28515625" style="403" customWidth="1"/>
    <col min="7429" max="7429" width="38.7109375" style="403" customWidth="1"/>
    <col min="7430" max="7430" width="12.7109375" style="403" customWidth="1"/>
    <col min="7431" max="7431" width="17.42578125" style="403" customWidth="1"/>
    <col min="7432" max="7432" width="11.28515625" style="403" bestFit="1" customWidth="1"/>
    <col min="7433" max="7680" width="9.140625" style="403"/>
    <col min="7681" max="7681" width="4.7109375" style="403" customWidth="1"/>
    <col min="7682" max="7682" width="44.85546875" style="403" customWidth="1"/>
    <col min="7683" max="7683" width="14.5703125" style="403" customWidth="1"/>
    <col min="7684" max="7684" width="16.28515625" style="403" customWidth="1"/>
    <col min="7685" max="7685" width="38.7109375" style="403" customWidth="1"/>
    <col min="7686" max="7686" width="12.7109375" style="403" customWidth="1"/>
    <col min="7687" max="7687" width="17.42578125" style="403" customWidth="1"/>
    <col min="7688" max="7688" width="11.28515625" style="403" bestFit="1" customWidth="1"/>
    <col min="7689" max="7936" width="9.140625" style="403"/>
    <col min="7937" max="7937" width="4.7109375" style="403" customWidth="1"/>
    <col min="7938" max="7938" width="44.85546875" style="403" customWidth="1"/>
    <col min="7939" max="7939" width="14.5703125" style="403" customWidth="1"/>
    <col min="7940" max="7940" width="16.28515625" style="403" customWidth="1"/>
    <col min="7941" max="7941" width="38.7109375" style="403" customWidth="1"/>
    <col min="7942" max="7942" width="12.7109375" style="403" customWidth="1"/>
    <col min="7943" max="7943" width="17.42578125" style="403" customWidth="1"/>
    <col min="7944" max="7944" width="11.28515625" style="403" bestFit="1" customWidth="1"/>
    <col min="7945" max="8192" width="9.140625" style="403"/>
    <col min="8193" max="8193" width="4.7109375" style="403" customWidth="1"/>
    <col min="8194" max="8194" width="44.85546875" style="403" customWidth="1"/>
    <col min="8195" max="8195" width="14.5703125" style="403" customWidth="1"/>
    <col min="8196" max="8196" width="16.28515625" style="403" customWidth="1"/>
    <col min="8197" max="8197" width="38.7109375" style="403" customWidth="1"/>
    <col min="8198" max="8198" width="12.7109375" style="403" customWidth="1"/>
    <col min="8199" max="8199" width="17.42578125" style="403" customWidth="1"/>
    <col min="8200" max="8200" width="11.28515625" style="403" bestFit="1" customWidth="1"/>
    <col min="8201" max="8448" width="9.140625" style="403"/>
    <col min="8449" max="8449" width="4.7109375" style="403" customWidth="1"/>
    <col min="8450" max="8450" width="44.85546875" style="403" customWidth="1"/>
    <col min="8451" max="8451" width="14.5703125" style="403" customWidth="1"/>
    <col min="8452" max="8452" width="16.28515625" style="403" customWidth="1"/>
    <col min="8453" max="8453" width="38.7109375" style="403" customWidth="1"/>
    <col min="8454" max="8454" width="12.7109375" style="403" customWidth="1"/>
    <col min="8455" max="8455" width="17.42578125" style="403" customWidth="1"/>
    <col min="8456" max="8456" width="11.28515625" style="403" bestFit="1" customWidth="1"/>
    <col min="8457" max="8704" width="9.140625" style="403"/>
    <col min="8705" max="8705" width="4.7109375" style="403" customWidth="1"/>
    <col min="8706" max="8706" width="44.85546875" style="403" customWidth="1"/>
    <col min="8707" max="8707" width="14.5703125" style="403" customWidth="1"/>
    <col min="8708" max="8708" width="16.28515625" style="403" customWidth="1"/>
    <col min="8709" max="8709" width="38.7109375" style="403" customWidth="1"/>
    <col min="8710" max="8710" width="12.7109375" style="403" customWidth="1"/>
    <col min="8711" max="8711" width="17.42578125" style="403" customWidth="1"/>
    <col min="8712" max="8712" width="11.28515625" style="403" bestFit="1" customWidth="1"/>
    <col min="8713" max="8960" width="9.140625" style="403"/>
    <col min="8961" max="8961" width="4.7109375" style="403" customWidth="1"/>
    <col min="8962" max="8962" width="44.85546875" style="403" customWidth="1"/>
    <col min="8963" max="8963" width="14.5703125" style="403" customWidth="1"/>
    <col min="8964" max="8964" width="16.28515625" style="403" customWidth="1"/>
    <col min="8965" max="8965" width="38.7109375" style="403" customWidth="1"/>
    <col min="8966" max="8966" width="12.7109375" style="403" customWidth="1"/>
    <col min="8967" max="8967" width="17.42578125" style="403" customWidth="1"/>
    <col min="8968" max="8968" width="11.28515625" style="403" bestFit="1" customWidth="1"/>
    <col min="8969" max="9216" width="9.140625" style="403"/>
    <col min="9217" max="9217" width="4.7109375" style="403" customWidth="1"/>
    <col min="9218" max="9218" width="44.85546875" style="403" customWidth="1"/>
    <col min="9219" max="9219" width="14.5703125" style="403" customWidth="1"/>
    <col min="9220" max="9220" width="16.28515625" style="403" customWidth="1"/>
    <col min="9221" max="9221" width="38.7109375" style="403" customWidth="1"/>
    <col min="9222" max="9222" width="12.7109375" style="403" customWidth="1"/>
    <col min="9223" max="9223" width="17.42578125" style="403" customWidth="1"/>
    <col min="9224" max="9224" width="11.28515625" style="403" bestFit="1" customWidth="1"/>
    <col min="9225" max="9472" width="9.140625" style="403"/>
    <col min="9473" max="9473" width="4.7109375" style="403" customWidth="1"/>
    <col min="9474" max="9474" width="44.85546875" style="403" customWidth="1"/>
    <col min="9475" max="9475" width="14.5703125" style="403" customWidth="1"/>
    <col min="9476" max="9476" width="16.28515625" style="403" customWidth="1"/>
    <col min="9477" max="9477" width="38.7109375" style="403" customWidth="1"/>
    <col min="9478" max="9478" width="12.7109375" style="403" customWidth="1"/>
    <col min="9479" max="9479" width="17.42578125" style="403" customWidth="1"/>
    <col min="9480" max="9480" width="11.28515625" style="403" bestFit="1" customWidth="1"/>
    <col min="9481" max="9728" width="9.140625" style="403"/>
    <col min="9729" max="9729" width="4.7109375" style="403" customWidth="1"/>
    <col min="9730" max="9730" width="44.85546875" style="403" customWidth="1"/>
    <col min="9731" max="9731" width="14.5703125" style="403" customWidth="1"/>
    <col min="9732" max="9732" width="16.28515625" style="403" customWidth="1"/>
    <col min="9733" max="9733" width="38.7109375" style="403" customWidth="1"/>
    <col min="9734" max="9734" width="12.7109375" style="403" customWidth="1"/>
    <col min="9735" max="9735" width="17.42578125" style="403" customWidth="1"/>
    <col min="9736" max="9736" width="11.28515625" style="403" bestFit="1" customWidth="1"/>
    <col min="9737" max="9984" width="9.140625" style="403"/>
    <col min="9985" max="9985" width="4.7109375" style="403" customWidth="1"/>
    <col min="9986" max="9986" width="44.85546875" style="403" customWidth="1"/>
    <col min="9987" max="9987" width="14.5703125" style="403" customWidth="1"/>
    <col min="9988" max="9988" width="16.28515625" style="403" customWidth="1"/>
    <col min="9989" max="9989" width="38.7109375" style="403" customWidth="1"/>
    <col min="9990" max="9990" width="12.7109375" style="403" customWidth="1"/>
    <col min="9991" max="9991" width="17.42578125" style="403" customWidth="1"/>
    <col min="9992" max="9992" width="11.28515625" style="403" bestFit="1" customWidth="1"/>
    <col min="9993" max="10240" width="9.140625" style="403"/>
    <col min="10241" max="10241" width="4.7109375" style="403" customWidth="1"/>
    <col min="10242" max="10242" width="44.85546875" style="403" customWidth="1"/>
    <col min="10243" max="10243" width="14.5703125" style="403" customWidth="1"/>
    <col min="10244" max="10244" width="16.28515625" style="403" customWidth="1"/>
    <col min="10245" max="10245" width="38.7109375" style="403" customWidth="1"/>
    <col min="10246" max="10246" width="12.7109375" style="403" customWidth="1"/>
    <col min="10247" max="10247" width="17.42578125" style="403" customWidth="1"/>
    <col min="10248" max="10248" width="11.28515625" style="403" bestFit="1" customWidth="1"/>
    <col min="10249" max="10496" width="9.140625" style="403"/>
    <col min="10497" max="10497" width="4.7109375" style="403" customWidth="1"/>
    <col min="10498" max="10498" width="44.85546875" style="403" customWidth="1"/>
    <col min="10499" max="10499" width="14.5703125" style="403" customWidth="1"/>
    <col min="10500" max="10500" width="16.28515625" style="403" customWidth="1"/>
    <col min="10501" max="10501" width="38.7109375" style="403" customWidth="1"/>
    <col min="10502" max="10502" width="12.7109375" style="403" customWidth="1"/>
    <col min="10503" max="10503" width="17.42578125" style="403" customWidth="1"/>
    <col min="10504" max="10504" width="11.28515625" style="403" bestFit="1" customWidth="1"/>
    <col min="10505" max="10752" width="9.140625" style="403"/>
    <col min="10753" max="10753" width="4.7109375" style="403" customWidth="1"/>
    <col min="10754" max="10754" width="44.85546875" style="403" customWidth="1"/>
    <col min="10755" max="10755" width="14.5703125" style="403" customWidth="1"/>
    <col min="10756" max="10756" width="16.28515625" style="403" customWidth="1"/>
    <col min="10757" max="10757" width="38.7109375" style="403" customWidth="1"/>
    <col min="10758" max="10758" width="12.7109375" style="403" customWidth="1"/>
    <col min="10759" max="10759" width="17.42578125" style="403" customWidth="1"/>
    <col min="10760" max="10760" width="11.28515625" style="403" bestFit="1" customWidth="1"/>
    <col min="10761" max="11008" width="9.140625" style="403"/>
    <col min="11009" max="11009" width="4.7109375" style="403" customWidth="1"/>
    <col min="11010" max="11010" width="44.85546875" style="403" customWidth="1"/>
    <col min="11011" max="11011" width="14.5703125" style="403" customWidth="1"/>
    <col min="11012" max="11012" width="16.28515625" style="403" customWidth="1"/>
    <col min="11013" max="11013" width="38.7109375" style="403" customWidth="1"/>
    <col min="11014" max="11014" width="12.7109375" style="403" customWidth="1"/>
    <col min="11015" max="11015" width="17.42578125" style="403" customWidth="1"/>
    <col min="11016" max="11016" width="11.28515625" style="403" bestFit="1" customWidth="1"/>
    <col min="11017" max="11264" width="9.140625" style="403"/>
    <col min="11265" max="11265" width="4.7109375" style="403" customWidth="1"/>
    <col min="11266" max="11266" width="44.85546875" style="403" customWidth="1"/>
    <col min="11267" max="11267" width="14.5703125" style="403" customWidth="1"/>
    <col min="11268" max="11268" width="16.28515625" style="403" customWidth="1"/>
    <col min="11269" max="11269" width="38.7109375" style="403" customWidth="1"/>
    <col min="11270" max="11270" width="12.7109375" style="403" customWidth="1"/>
    <col min="11271" max="11271" width="17.42578125" style="403" customWidth="1"/>
    <col min="11272" max="11272" width="11.28515625" style="403" bestFit="1" customWidth="1"/>
    <col min="11273" max="11520" width="9.140625" style="403"/>
    <col min="11521" max="11521" width="4.7109375" style="403" customWidth="1"/>
    <col min="11522" max="11522" width="44.85546875" style="403" customWidth="1"/>
    <col min="11523" max="11523" width="14.5703125" style="403" customWidth="1"/>
    <col min="11524" max="11524" width="16.28515625" style="403" customWidth="1"/>
    <col min="11525" max="11525" width="38.7109375" style="403" customWidth="1"/>
    <col min="11526" max="11526" width="12.7109375" style="403" customWidth="1"/>
    <col min="11527" max="11527" width="17.42578125" style="403" customWidth="1"/>
    <col min="11528" max="11528" width="11.28515625" style="403" bestFit="1" customWidth="1"/>
    <col min="11529" max="11776" width="9.140625" style="403"/>
    <col min="11777" max="11777" width="4.7109375" style="403" customWidth="1"/>
    <col min="11778" max="11778" width="44.85546875" style="403" customWidth="1"/>
    <col min="11779" max="11779" width="14.5703125" style="403" customWidth="1"/>
    <col min="11780" max="11780" width="16.28515625" style="403" customWidth="1"/>
    <col min="11781" max="11781" width="38.7109375" style="403" customWidth="1"/>
    <col min="11782" max="11782" width="12.7109375" style="403" customWidth="1"/>
    <col min="11783" max="11783" width="17.42578125" style="403" customWidth="1"/>
    <col min="11784" max="11784" width="11.28515625" style="403" bestFit="1" customWidth="1"/>
    <col min="11785" max="12032" width="9.140625" style="403"/>
    <col min="12033" max="12033" width="4.7109375" style="403" customWidth="1"/>
    <col min="12034" max="12034" width="44.85546875" style="403" customWidth="1"/>
    <col min="12035" max="12035" width="14.5703125" style="403" customWidth="1"/>
    <col min="12036" max="12036" width="16.28515625" style="403" customWidth="1"/>
    <col min="12037" max="12037" width="38.7109375" style="403" customWidth="1"/>
    <col min="12038" max="12038" width="12.7109375" style="403" customWidth="1"/>
    <col min="12039" max="12039" width="17.42578125" style="403" customWidth="1"/>
    <col min="12040" max="12040" width="11.28515625" style="403" bestFit="1" customWidth="1"/>
    <col min="12041" max="12288" width="9.140625" style="403"/>
    <col min="12289" max="12289" width="4.7109375" style="403" customWidth="1"/>
    <col min="12290" max="12290" width="44.85546875" style="403" customWidth="1"/>
    <col min="12291" max="12291" width="14.5703125" style="403" customWidth="1"/>
    <col min="12292" max="12292" width="16.28515625" style="403" customWidth="1"/>
    <col min="12293" max="12293" width="38.7109375" style="403" customWidth="1"/>
    <col min="12294" max="12294" width="12.7109375" style="403" customWidth="1"/>
    <col min="12295" max="12295" width="17.42578125" style="403" customWidth="1"/>
    <col min="12296" max="12296" width="11.28515625" style="403" bestFit="1" customWidth="1"/>
    <col min="12297" max="12544" width="9.140625" style="403"/>
    <col min="12545" max="12545" width="4.7109375" style="403" customWidth="1"/>
    <col min="12546" max="12546" width="44.85546875" style="403" customWidth="1"/>
    <col min="12547" max="12547" width="14.5703125" style="403" customWidth="1"/>
    <col min="12548" max="12548" width="16.28515625" style="403" customWidth="1"/>
    <col min="12549" max="12549" width="38.7109375" style="403" customWidth="1"/>
    <col min="12550" max="12550" width="12.7109375" style="403" customWidth="1"/>
    <col min="12551" max="12551" width="17.42578125" style="403" customWidth="1"/>
    <col min="12552" max="12552" width="11.28515625" style="403" bestFit="1" customWidth="1"/>
    <col min="12553" max="12800" width="9.140625" style="403"/>
    <col min="12801" max="12801" width="4.7109375" style="403" customWidth="1"/>
    <col min="12802" max="12802" width="44.85546875" style="403" customWidth="1"/>
    <col min="12803" max="12803" width="14.5703125" style="403" customWidth="1"/>
    <col min="12804" max="12804" width="16.28515625" style="403" customWidth="1"/>
    <col min="12805" max="12805" width="38.7109375" style="403" customWidth="1"/>
    <col min="12806" max="12806" width="12.7109375" style="403" customWidth="1"/>
    <col min="12807" max="12807" width="17.42578125" style="403" customWidth="1"/>
    <col min="12808" max="12808" width="11.28515625" style="403" bestFit="1" customWidth="1"/>
    <col min="12809" max="13056" width="9.140625" style="403"/>
    <col min="13057" max="13057" width="4.7109375" style="403" customWidth="1"/>
    <col min="13058" max="13058" width="44.85546875" style="403" customWidth="1"/>
    <col min="13059" max="13059" width="14.5703125" style="403" customWidth="1"/>
    <col min="13060" max="13060" width="16.28515625" style="403" customWidth="1"/>
    <col min="13061" max="13061" width="38.7109375" style="403" customWidth="1"/>
    <col min="13062" max="13062" width="12.7109375" style="403" customWidth="1"/>
    <col min="13063" max="13063" width="17.42578125" style="403" customWidth="1"/>
    <col min="13064" max="13064" width="11.28515625" style="403" bestFit="1" customWidth="1"/>
    <col min="13065" max="13312" width="9.140625" style="403"/>
    <col min="13313" max="13313" width="4.7109375" style="403" customWidth="1"/>
    <col min="13314" max="13314" width="44.85546875" style="403" customWidth="1"/>
    <col min="13315" max="13315" width="14.5703125" style="403" customWidth="1"/>
    <col min="13316" max="13316" width="16.28515625" style="403" customWidth="1"/>
    <col min="13317" max="13317" width="38.7109375" style="403" customWidth="1"/>
    <col min="13318" max="13318" width="12.7109375" style="403" customWidth="1"/>
    <col min="13319" max="13319" width="17.42578125" style="403" customWidth="1"/>
    <col min="13320" max="13320" width="11.28515625" style="403" bestFit="1" customWidth="1"/>
    <col min="13321" max="13568" width="9.140625" style="403"/>
    <col min="13569" max="13569" width="4.7109375" style="403" customWidth="1"/>
    <col min="13570" max="13570" width="44.85546875" style="403" customWidth="1"/>
    <col min="13571" max="13571" width="14.5703125" style="403" customWidth="1"/>
    <col min="13572" max="13572" width="16.28515625" style="403" customWidth="1"/>
    <col min="13573" max="13573" width="38.7109375" style="403" customWidth="1"/>
    <col min="13574" max="13574" width="12.7109375" style="403" customWidth="1"/>
    <col min="13575" max="13575" width="17.42578125" style="403" customWidth="1"/>
    <col min="13576" max="13576" width="11.28515625" style="403" bestFit="1" customWidth="1"/>
    <col min="13577" max="13824" width="9.140625" style="403"/>
    <col min="13825" max="13825" width="4.7109375" style="403" customWidth="1"/>
    <col min="13826" max="13826" width="44.85546875" style="403" customWidth="1"/>
    <col min="13827" max="13827" width="14.5703125" style="403" customWidth="1"/>
    <col min="13828" max="13828" width="16.28515625" style="403" customWidth="1"/>
    <col min="13829" max="13829" width="38.7109375" style="403" customWidth="1"/>
    <col min="13830" max="13830" width="12.7109375" style="403" customWidth="1"/>
    <col min="13831" max="13831" width="17.42578125" style="403" customWidth="1"/>
    <col min="13832" max="13832" width="11.28515625" style="403" bestFit="1" customWidth="1"/>
    <col min="13833" max="14080" width="9.140625" style="403"/>
    <col min="14081" max="14081" width="4.7109375" style="403" customWidth="1"/>
    <col min="14082" max="14082" width="44.85546875" style="403" customWidth="1"/>
    <col min="14083" max="14083" width="14.5703125" style="403" customWidth="1"/>
    <col min="14084" max="14084" width="16.28515625" style="403" customWidth="1"/>
    <col min="14085" max="14085" width="38.7109375" style="403" customWidth="1"/>
    <col min="14086" max="14086" width="12.7109375" style="403" customWidth="1"/>
    <col min="14087" max="14087" width="17.42578125" style="403" customWidth="1"/>
    <col min="14088" max="14088" width="11.28515625" style="403" bestFit="1" customWidth="1"/>
    <col min="14089" max="14336" width="9.140625" style="403"/>
    <col min="14337" max="14337" width="4.7109375" style="403" customWidth="1"/>
    <col min="14338" max="14338" width="44.85546875" style="403" customWidth="1"/>
    <col min="14339" max="14339" width="14.5703125" style="403" customWidth="1"/>
    <col min="14340" max="14340" width="16.28515625" style="403" customWidth="1"/>
    <col min="14341" max="14341" width="38.7109375" style="403" customWidth="1"/>
    <col min="14342" max="14342" width="12.7109375" style="403" customWidth="1"/>
    <col min="14343" max="14343" width="17.42578125" style="403" customWidth="1"/>
    <col min="14344" max="14344" width="11.28515625" style="403" bestFit="1" customWidth="1"/>
    <col min="14345" max="14592" width="9.140625" style="403"/>
    <col min="14593" max="14593" width="4.7109375" style="403" customWidth="1"/>
    <col min="14594" max="14594" width="44.85546875" style="403" customWidth="1"/>
    <col min="14595" max="14595" width="14.5703125" style="403" customWidth="1"/>
    <col min="14596" max="14596" width="16.28515625" style="403" customWidth="1"/>
    <col min="14597" max="14597" width="38.7109375" style="403" customWidth="1"/>
    <col min="14598" max="14598" width="12.7109375" style="403" customWidth="1"/>
    <col min="14599" max="14599" width="17.42578125" style="403" customWidth="1"/>
    <col min="14600" max="14600" width="11.28515625" style="403" bestFit="1" customWidth="1"/>
    <col min="14601" max="14848" width="9.140625" style="403"/>
    <col min="14849" max="14849" width="4.7109375" style="403" customWidth="1"/>
    <col min="14850" max="14850" width="44.85546875" style="403" customWidth="1"/>
    <col min="14851" max="14851" width="14.5703125" style="403" customWidth="1"/>
    <col min="14852" max="14852" width="16.28515625" style="403" customWidth="1"/>
    <col min="14853" max="14853" width="38.7109375" style="403" customWidth="1"/>
    <col min="14854" max="14854" width="12.7109375" style="403" customWidth="1"/>
    <col min="14855" max="14855" width="17.42578125" style="403" customWidth="1"/>
    <col min="14856" max="14856" width="11.28515625" style="403" bestFit="1" customWidth="1"/>
    <col min="14857" max="15104" width="9.140625" style="403"/>
    <col min="15105" max="15105" width="4.7109375" style="403" customWidth="1"/>
    <col min="15106" max="15106" width="44.85546875" style="403" customWidth="1"/>
    <col min="15107" max="15107" width="14.5703125" style="403" customWidth="1"/>
    <col min="15108" max="15108" width="16.28515625" style="403" customWidth="1"/>
    <col min="15109" max="15109" width="38.7109375" style="403" customWidth="1"/>
    <col min="15110" max="15110" width="12.7109375" style="403" customWidth="1"/>
    <col min="15111" max="15111" width="17.42578125" style="403" customWidth="1"/>
    <col min="15112" max="15112" width="11.28515625" style="403" bestFit="1" customWidth="1"/>
    <col min="15113" max="15360" width="9.140625" style="403"/>
    <col min="15361" max="15361" width="4.7109375" style="403" customWidth="1"/>
    <col min="15362" max="15362" width="44.85546875" style="403" customWidth="1"/>
    <col min="15363" max="15363" width="14.5703125" style="403" customWidth="1"/>
    <col min="15364" max="15364" width="16.28515625" style="403" customWidth="1"/>
    <col min="15365" max="15365" width="38.7109375" style="403" customWidth="1"/>
    <col min="15366" max="15366" width="12.7109375" style="403" customWidth="1"/>
    <col min="15367" max="15367" width="17.42578125" style="403" customWidth="1"/>
    <col min="15368" max="15368" width="11.28515625" style="403" bestFit="1" customWidth="1"/>
    <col min="15369" max="15616" width="9.140625" style="403"/>
    <col min="15617" max="15617" width="4.7109375" style="403" customWidth="1"/>
    <col min="15618" max="15618" width="44.85546875" style="403" customWidth="1"/>
    <col min="15619" max="15619" width="14.5703125" style="403" customWidth="1"/>
    <col min="15620" max="15620" width="16.28515625" style="403" customWidth="1"/>
    <col min="15621" max="15621" width="38.7109375" style="403" customWidth="1"/>
    <col min="15622" max="15622" width="12.7109375" style="403" customWidth="1"/>
    <col min="15623" max="15623" width="17.42578125" style="403" customWidth="1"/>
    <col min="15624" max="15624" width="11.28515625" style="403" bestFit="1" customWidth="1"/>
    <col min="15625" max="15872" width="9.140625" style="403"/>
    <col min="15873" max="15873" width="4.7109375" style="403" customWidth="1"/>
    <col min="15874" max="15874" width="44.85546875" style="403" customWidth="1"/>
    <col min="15875" max="15875" width="14.5703125" style="403" customWidth="1"/>
    <col min="15876" max="15876" width="16.28515625" style="403" customWidth="1"/>
    <col min="15877" max="15877" width="38.7109375" style="403" customWidth="1"/>
    <col min="15878" max="15878" width="12.7109375" style="403" customWidth="1"/>
    <col min="15879" max="15879" width="17.42578125" style="403" customWidth="1"/>
    <col min="15880" max="15880" width="11.28515625" style="403" bestFit="1" customWidth="1"/>
    <col min="15881" max="16128" width="9.140625" style="403"/>
    <col min="16129" max="16129" width="4.7109375" style="403" customWidth="1"/>
    <col min="16130" max="16130" width="44.85546875" style="403" customWidth="1"/>
    <col min="16131" max="16131" width="14.5703125" style="403" customWidth="1"/>
    <col min="16132" max="16132" width="16.28515625" style="403" customWidth="1"/>
    <col min="16133" max="16133" width="38.7109375" style="403" customWidth="1"/>
    <col min="16134" max="16134" width="12.7109375" style="403" customWidth="1"/>
    <col min="16135" max="16135" width="17.42578125" style="403" customWidth="1"/>
    <col min="16136" max="16136" width="11.28515625" style="403" bestFit="1" customWidth="1"/>
    <col min="16137" max="16384" width="9.140625" style="403"/>
  </cols>
  <sheetData>
    <row r="1" spans="1:12" ht="18" customHeight="1" x14ac:dyDescent="0.2">
      <c r="A1" s="465"/>
      <c r="B1" s="465"/>
      <c r="C1" s="469"/>
      <c r="D1" s="465"/>
      <c r="E1" s="466"/>
      <c r="F1" s="469"/>
      <c r="G1" s="465"/>
    </row>
    <row r="2" spans="1:12" ht="18" customHeight="1" x14ac:dyDescent="0.2">
      <c r="A2" s="465"/>
      <c r="B2" s="465"/>
      <c r="C2" s="468"/>
      <c r="D2" s="465"/>
      <c r="E2" s="466"/>
      <c r="F2" s="468"/>
      <c r="G2" s="465"/>
    </row>
    <row r="3" spans="1:12" ht="18" customHeight="1" x14ac:dyDescent="0.2">
      <c r="A3" s="465"/>
      <c r="B3" s="468"/>
      <c r="C3" s="468"/>
      <c r="D3" s="465"/>
      <c r="E3" s="466"/>
      <c r="F3" s="468"/>
      <c r="G3" s="465"/>
    </row>
    <row r="4" spans="1:12" ht="16.5" x14ac:dyDescent="0.2">
      <c r="A4" s="465"/>
      <c r="B4" s="468"/>
      <c r="C4" s="465"/>
      <c r="D4" s="467"/>
      <c r="E4" s="466"/>
      <c r="F4" s="465"/>
      <c r="G4" s="465"/>
    </row>
    <row r="5" spans="1:12" ht="16.5" x14ac:dyDescent="0.2">
      <c r="A5" s="656" t="s">
        <v>259</v>
      </c>
      <c r="B5" s="656"/>
      <c r="C5" s="656"/>
      <c r="D5" s="656"/>
      <c r="E5" s="656"/>
      <c r="F5" s="656"/>
      <c r="G5" s="656"/>
    </row>
    <row r="6" spans="1:12" s="411" customFormat="1" ht="89.25" customHeight="1" x14ac:dyDescent="0.2">
      <c r="A6" s="657" t="s">
        <v>341</v>
      </c>
      <c r="B6" s="657"/>
      <c r="C6" s="657"/>
      <c r="D6" s="657"/>
      <c r="E6" s="657"/>
      <c r="F6" s="657"/>
      <c r="G6" s="657"/>
      <c r="H6" s="464"/>
    </row>
    <row r="7" spans="1:12" s="411" customFormat="1" ht="18" customHeight="1" x14ac:dyDescent="0.2">
      <c r="A7" s="463"/>
      <c r="B7" s="462"/>
      <c r="C7" s="462"/>
      <c r="D7" s="462"/>
      <c r="E7" s="408"/>
    </row>
    <row r="8" spans="1:12" s="405" customFormat="1" x14ac:dyDescent="0.2">
      <c r="A8" s="658" t="s">
        <v>22</v>
      </c>
      <c r="B8" s="658" t="s">
        <v>66</v>
      </c>
      <c r="C8" s="658" t="s">
        <v>255</v>
      </c>
      <c r="D8" s="658" t="s">
        <v>258</v>
      </c>
      <c r="E8" s="660" t="s">
        <v>257</v>
      </c>
      <c r="F8" s="660"/>
      <c r="G8" s="658" t="s">
        <v>256</v>
      </c>
    </row>
    <row r="9" spans="1:12" s="405" customFormat="1" ht="24" x14ac:dyDescent="0.2">
      <c r="A9" s="659"/>
      <c r="B9" s="659"/>
      <c r="C9" s="659"/>
      <c r="D9" s="659"/>
      <c r="E9" s="461" t="s">
        <v>255</v>
      </c>
      <c r="F9" s="461" t="s">
        <v>254</v>
      </c>
      <c r="G9" s="659"/>
    </row>
    <row r="10" spans="1:12" x14ac:dyDescent="0.2">
      <c r="A10" s="456"/>
      <c r="B10" s="456" t="s">
        <v>67</v>
      </c>
      <c r="C10" s="456"/>
      <c r="D10" s="456"/>
      <c r="E10" s="460"/>
      <c r="F10" s="440"/>
      <c r="G10" s="440"/>
    </row>
    <row r="11" spans="1:12" ht="47.25" x14ac:dyDescent="0.2">
      <c r="A11" s="443">
        <v>1</v>
      </c>
      <c r="B11" s="459" t="s">
        <v>185</v>
      </c>
      <c r="C11" s="443" t="s">
        <v>253</v>
      </c>
      <c r="D11" s="448">
        <f>'Геол, экол, геод'!G35</f>
        <v>83614.2</v>
      </c>
      <c r="E11" s="447" t="s">
        <v>260</v>
      </c>
      <c r="F11" s="454">
        <v>3.99</v>
      </c>
      <c r="G11" s="445">
        <f>ROUND(D11*F11,2)</f>
        <v>333620.65999999997</v>
      </c>
      <c r="H11" s="451"/>
      <c r="I11" s="451"/>
      <c r="J11" s="451"/>
      <c r="K11" s="451"/>
      <c r="L11" s="450"/>
    </row>
    <row r="12" spans="1:12" x14ac:dyDescent="0.2">
      <c r="A12" s="458"/>
      <c r="B12" s="457" t="s">
        <v>68</v>
      </c>
      <c r="C12" s="457"/>
      <c r="D12" s="439">
        <f>SUM(D11:D11)</f>
        <v>83614.2</v>
      </c>
      <c r="E12" s="447"/>
      <c r="F12" s="440"/>
      <c r="G12" s="439">
        <f>SUM(G11:G11)</f>
        <v>333620.65999999997</v>
      </c>
    </row>
    <row r="13" spans="1:12" x14ac:dyDescent="0.2">
      <c r="A13" s="443"/>
      <c r="B13" s="456" t="s">
        <v>69</v>
      </c>
      <c r="C13" s="443"/>
      <c r="D13" s="442"/>
      <c r="E13" s="447"/>
      <c r="F13" s="455"/>
      <c r="G13" s="454"/>
      <c r="H13" s="405"/>
      <c r="I13" s="405"/>
      <c r="J13" s="405"/>
    </row>
    <row r="14" spans="1:12" ht="36" x14ac:dyDescent="0.2">
      <c r="A14" s="443">
        <v>2</v>
      </c>
      <c r="B14" s="453" t="s">
        <v>70</v>
      </c>
      <c r="C14" s="443" t="s">
        <v>252</v>
      </c>
      <c r="D14" s="448">
        <f>Т.с.!H81</f>
        <v>441594.75</v>
      </c>
      <c r="E14" s="447" t="s">
        <v>261</v>
      </c>
      <c r="F14" s="446">
        <v>3.5859999999999999</v>
      </c>
      <c r="G14" s="445">
        <f>ROUND(D14*F14,2)</f>
        <v>1583558.77</v>
      </c>
      <c r="H14" s="451"/>
      <c r="I14" s="451"/>
      <c r="J14" s="451"/>
      <c r="K14" s="451"/>
      <c r="L14" s="450"/>
    </row>
    <row r="15" spans="1:12" ht="36" x14ac:dyDescent="0.2">
      <c r="A15" s="443">
        <v>3</v>
      </c>
      <c r="B15" s="453" t="s">
        <v>71</v>
      </c>
      <c r="C15" s="443" t="s">
        <v>251</v>
      </c>
      <c r="D15" s="448">
        <f>'ООС+Тр'!H61</f>
        <v>65624.5</v>
      </c>
      <c r="E15" s="447" t="s">
        <v>261</v>
      </c>
      <c r="F15" s="446">
        <v>3.5859999999999999</v>
      </c>
      <c r="G15" s="445">
        <f>ROUND(D15*F15,2)</f>
        <v>235329.46</v>
      </c>
      <c r="H15" s="451"/>
      <c r="I15" s="451"/>
      <c r="J15" s="451"/>
      <c r="K15" s="451"/>
      <c r="L15" s="450"/>
    </row>
    <row r="16" spans="1:12" ht="36" x14ac:dyDescent="0.2">
      <c r="A16" s="443">
        <v>4</v>
      </c>
      <c r="B16" s="452" t="s">
        <v>77</v>
      </c>
      <c r="C16" s="443" t="s">
        <v>250</v>
      </c>
      <c r="D16" s="448">
        <f>ПОЖ!H21</f>
        <v>8000</v>
      </c>
      <c r="E16" s="447" t="s">
        <v>261</v>
      </c>
      <c r="F16" s="446">
        <v>3.5859999999999999</v>
      </c>
      <c r="G16" s="445">
        <f>ROUND(D16*F16,2)</f>
        <v>28688</v>
      </c>
      <c r="H16" s="451"/>
      <c r="I16" s="451"/>
      <c r="J16" s="451"/>
      <c r="K16" s="451"/>
      <c r="L16" s="450"/>
    </row>
    <row r="17" spans="1:12" ht="36" x14ac:dyDescent="0.2">
      <c r="A17" s="443">
        <v>5</v>
      </c>
      <c r="B17" s="449" t="s">
        <v>262</v>
      </c>
      <c r="C17" s="443" t="s">
        <v>249</v>
      </c>
      <c r="D17" s="448">
        <f>[1]РДП!H21</f>
        <v>67849.2</v>
      </c>
      <c r="E17" s="447" t="s">
        <v>263</v>
      </c>
      <c r="F17" s="446">
        <v>3.95</v>
      </c>
      <c r="G17" s="445">
        <f>ROUND(D17*F17,2)</f>
        <v>268004.34000000003</v>
      </c>
      <c r="H17" s="451"/>
      <c r="I17" s="451"/>
      <c r="J17" s="451"/>
      <c r="K17" s="451"/>
      <c r="L17" s="450"/>
    </row>
    <row r="18" spans="1:12" ht="36" x14ac:dyDescent="0.2">
      <c r="A18" s="443">
        <v>6</v>
      </c>
      <c r="B18" s="449" t="s">
        <v>166</v>
      </c>
      <c r="C18" s="443" t="s">
        <v>264</v>
      </c>
      <c r="D18" s="448">
        <f>СОГЛ!G17</f>
        <v>26888.02</v>
      </c>
      <c r="E18" s="447" t="s">
        <v>261</v>
      </c>
      <c r="F18" s="446">
        <v>3.5859999999999999</v>
      </c>
      <c r="G18" s="445">
        <f>ROUND(D18*F18,2)</f>
        <v>96420.44</v>
      </c>
    </row>
    <row r="19" spans="1:12" ht="19.5" customHeight="1" x14ac:dyDescent="0.2">
      <c r="A19" s="443"/>
      <c r="B19" s="444" t="s">
        <v>89</v>
      </c>
      <c r="C19" s="443"/>
      <c r="D19" s="442">
        <f>SUM(D14:D18)</f>
        <v>609956.47</v>
      </c>
      <c r="E19" s="441"/>
      <c r="F19" s="440"/>
      <c r="G19" s="439">
        <f>SUM(G14:G18)</f>
        <v>2212001.0099999998</v>
      </c>
    </row>
    <row r="20" spans="1:12" s="421" customFormat="1" ht="19.5" customHeight="1" x14ac:dyDescent="0.2">
      <c r="A20" s="438"/>
      <c r="B20" s="661" t="s">
        <v>248</v>
      </c>
      <c r="C20" s="661"/>
      <c r="D20" s="437">
        <f>ROUND(D12+D19,2)</f>
        <v>693570.67</v>
      </c>
      <c r="E20" s="436"/>
      <c r="F20" s="435"/>
      <c r="G20" s="434">
        <f>G12+G19</f>
        <v>2545621.67</v>
      </c>
    </row>
    <row r="21" spans="1:12" s="429" customFormat="1" x14ac:dyDescent="0.2">
      <c r="D21" s="433"/>
      <c r="E21" s="432"/>
      <c r="G21" s="431"/>
      <c r="H21" s="430"/>
    </row>
    <row r="22" spans="1:12" s="424" customFormat="1" ht="16.5" x14ac:dyDescent="0.2">
      <c r="A22" s="428"/>
      <c r="B22" s="655" t="s">
        <v>287</v>
      </c>
      <c r="C22" s="655"/>
      <c r="D22" s="427"/>
      <c r="E22" s="426"/>
      <c r="F22" s="426"/>
      <c r="G22" s="563">
        <f>G20</f>
        <v>2545621.67</v>
      </c>
    </row>
    <row r="23" spans="1:12" s="424" customFormat="1" ht="16.5" x14ac:dyDescent="0.2">
      <c r="A23" s="428"/>
      <c r="B23" s="655" t="s">
        <v>1</v>
      </c>
      <c r="C23" s="655"/>
      <c r="D23" s="427"/>
      <c r="E23" s="426"/>
      <c r="F23" s="426"/>
      <c r="G23" s="564">
        <f>ROUND(G22*0.18,2)</f>
        <v>458211.9</v>
      </c>
    </row>
    <row r="24" spans="1:12" s="424" customFormat="1" ht="16.5" x14ac:dyDescent="0.2">
      <c r="A24" s="428"/>
      <c r="B24" s="655" t="s">
        <v>281</v>
      </c>
      <c r="C24" s="655"/>
      <c r="D24" s="427"/>
      <c r="E24" s="426"/>
      <c r="F24" s="426"/>
      <c r="G24" s="425">
        <f>SUM(G22:G23)</f>
        <v>3003833.57</v>
      </c>
    </row>
    <row r="25" spans="1:12" s="423" customFormat="1" x14ac:dyDescent="0.2">
      <c r="A25" s="411"/>
      <c r="B25" s="414"/>
      <c r="C25" s="413"/>
      <c r="D25" s="412"/>
      <c r="E25" s="408"/>
    </row>
    <row r="26" spans="1:12" s="423" customFormat="1" x14ac:dyDescent="0.2">
      <c r="A26" s="411"/>
      <c r="B26" s="414"/>
      <c r="C26" s="413"/>
      <c r="D26" s="412"/>
      <c r="E26" s="408"/>
    </row>
    <row r="27" spans="1:12" s="423" customFormat="1" x14ac:dyDescent="0.2">
      <c r="A27" s="411"/>
      <c r="B27" s="414"/>
      <c r="C27" s="413"/>
      <c r="D27" s="412"/>
      <c r="E27" s="408"/>
    </row>
    <row r="28" spans="1:12" s="423" customFormat="1" x14ac:dyDescent="0.2">
      <c r="A28" s="411"/>
      <c r="B28" s="414"/>
      <c r="C28" s="413"/>
      <c r="D28" s="412"/>
      <c r="E28" s="408"/>
    </row>
    <row r="29" spans="1:12" s="418" customFormat="1" x14ac:dyDescent="0.2">
      <c r="A29" s="411"/>
      <c r="B29" s="294"/>
      <c r="C29" s="294"/>
      <c r="D29" s="294"/>
      <c r="E29" s="294"/>
      <c r="G29" s="422"/>
    </row>
    <row r="30" spans="1:12" s="420" customFormat="1" x14ac:dyDescent="0.2">
      <c r="A30" s="411"/>
      <c r="B30" s="17"/>
      <c r="C30" s="17"/>
      <c r="D30" s="17"/>
      <c r="E30" s="17"/>
      <c r="F30" s="421"/>
    </row>
    <row r="31" spans="1:12" s="411" customFormat="1" x14ac:dyDescent="0.2">
      <c r="A31" s="418"/>
      <c r="B31" s="294"/>
      <c r="C31" s="294"/>
      <c r="D31" s="294"/>
      <c r="E31" s="295"/>
    </row>
    <row r="32" spans="1:12" s="411" customFormat="1" x14ac:dyDescent="0.2">
      <c r="A32" s="418"/>
      <c r="B32" s="294"/>
      <c r="C32" s="294"/>
      <c r="D32" s="294"/>
      <c r="E32" s="294"/>
    </row>
    <row r="33" spans="1:5" s="411" customFormat="1" x14ac:dyDescent="0.2">
      <c r="A33" s="418"/>
      <c r="B33" s="417"/>
      <c r="C33" s="417"/>
      <c r="D33" s="416"/>
      <c r="E33" s="415"/>
    </row>
    <row r="34" spans="1:5" s="411" customFormat="1" x14ac:dyDescent="0.2">
      <c r="A34" s="418"/>
      <c r="B34" s="417"/>
      <c r="C34" s="417"/>
      <c r="D34" s="416"/>
      <c r="E34" s="419"/>
    </row>
    <row r="35" spans="1:5" s="411" customFormat="1" x14ac:dyDescent="0.2">
      <c r="A35" s="418"/>
      <c r="B35" s="417"/>
      <c r="C35" s="417"/>
      <c r="D35" s="416"/>
      <c r="E35" s="415"/>
    </row>
    <row r="36" spans="1:5" x14ac:dyDescent="0.2">
      <c r="A36" s="411"/>
      <c r="B36" s="414"/>
      <c r="C36" s="413"/>
      <c r="D36" s="412"/>
      <c r="E36" s="408"/>
    </row>
    <row r="37" spans="1:5" x14ac:dyDescent="0.2">
      <c r="A37" s="411"/>
      <c r="B37" s="414"/>
      <c r="C37" s="413"/>
      <c r="D37" s="412"/>
      <c r="E37" s="408"/>
    </row>
    <row r="38" spans="1:5" x14ac:dyDescent="0.2">
      <c r="A38" s="411"/>
      <c r="B38" s="411"/>
      <c r="C38" s="410"/>
      <c r="D38" s="409"/>
      <c r="E38" s="408"/>
    </row>
    <row r="39" spans="1:5" x14ac:dyDescent="0.2">
      <c r="A39" s="407"/>
      <c r="D39" s="406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9"/>
  <sheetViews>
    <sheetView view="pageBreakPreview" topLeftCell="A76" zoomScaleNormal="100" zoomScaleSheetLayoutView="100" workbookViewId="0">
      <selection activeCell="G1" sqref="G1:G4"/>
    </sheetView>
  </sheetViews>
  <sheetFormatPr defaultColWidth="9.140625" defaultRowHeight="12.75" x14ac:dyDescent="0.2"/>
  <cols>
    <col min="1" max="1" width="3.85546875" style="294" customWidth="1"/>
    <col min="2" max="2" width="37.7109375" style="294" customWidth="1"/>
    <col min="3" max="3" width="12" style="15" customWidth="1"/>
    <col min="4" max="4" width="11.28515625" style="295" bestFit="1" customWidth="1"/>
    <col min="5" max="5" width="27.7109375" style="294" customWidth="1"/>
    <col min="6" max="6" width="7.28515625" style="296" customWidth="1"/>
    <col min="7" max="7" width="35.42578125" style="294" customWidth="1"/>
    <col min="8" max="8" width="12.85546875" style="297" customWidth="1"/>
    <col min="9" max="9" width="20.28515625" style="259" customWidth="1"/>
    <col min="10" max="10" width="6.42578125" style="298" customWidth="1"/>
    <col min="11" max="14" width="15" style="298" customWidth="1"/>
    <col min="15" max="16384" width="9.140625" style="294"/>
  </cols>
  <sheetData>
    <row r="1" spans="1:16" x14ac:dyDescent="0.2">
      <c r="C1" s="6"/>
      <c r="G1" s="9"/>
      <c r="H1" s="281"/>
    </row>
    <row r="2" spans="1:16" x14ac:dyDescent="0.2">
      <c r="C2" s="6"/>
      <c r="G2" s="9"/>
      <c r="H2" s="282"/>
    </row>
    <row r="3" spans="1:16" x14ac:dyDescent="0.2">
      <c r="C3" s="6"/>
      <c r="G3" s="292"/>
      <c r="H3" s="282"/>
    </row>
    <row r="4" spans="1:16" s="14" customFormat="1" ht="6.75" customHeight="1" x14ac:dyDescent="0.2">
      <c r="A4" s="12"/>
      <c r="B4" s="12"/>
      <c r="C4" s="13"/>
      <c r="D4" s="12"/>
      <c r="E4" s="12"/>
      <c r="F4" s="12"/>
      <c r="G4" s="12"/>
      <c r="H4" s="283"/>
      <c r="I4" s="260"/>
    </row>
    <row r="5" spans="1:16" ht="17.25" hidden="1" customHeight="1" x14ac:dyDescent="0.2">
      <c r="D5" s="16"/>
      <c r="F5" s="17"/>
      <c r="G5" s="641"/>
    </row>
    <row r="6" spans="1:16" ht="16.5" customHeight="1" x14ac:dyDescent="0.2">
      <c r="A6" s="704" t="s">
        <v>74</v>
      </c>
      <c r="B6" s="704"/>
      <c r="C6" s="704"/>
      <c r="D6" s="704"/>
      <c r="E6" s="704"/>
      <c r="F6" s="704"/>
      <c r="G6" s="704"/>
      <c r="H6" s="704"/>
    </row>
    <row r="7" spans="1:16" ht="16.5" customHeight="1" x14ac:dyDescent="0.2">
      <c r="A7" s="640"/>
      <c r="B7" s="640"/>
      <c r="C7" s="640"/>
      <c r="D7" s="640"/>
      <c r="E7" s="640"/>
      <c r="F7" s="640"/>
      <c r="G7" s="640"/>
      <c r="H7" s="327"/>
    </row>
    <row r="8" spans="1:16" ht="88.5" customHeight="1" x14ac:dyDescent="0.2">
      <c r="A8" s="70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«Нежилое здание»,   расположенного  по    адресу: 
г. Москва, Мичуринский проспект, вл.9, корп.5.</v>
      </c>
      <c r="B8" s="705"/>
      <c r="C8" s="705"/>
      <c r="D8" s="705"/>
      <c r="E8" s="705"/>
      <c r="F8" s="705"/>
      <c r="G8" s="705"/>
      <c r="H8" s="705"/>
    </row>
    <row r="9" spans="1:16" ht="12" customHeight="1" x14ac:dyDescent="0.2">
      <c r="A9" s="707"/>
      <c r="B9" s="707"/>
      <c r="C9" s="707"/>
      <c r="D9" s="707"/>
      <c r="E9" s="707"/>
      <c r="F9" s="707"/>
      <c r="G9" s="707"/>
      <c r="H9" s="707"/>
    </row>
    <row r="10" spans="1:16" x14ac:dyDescent="0.2">
      <c r="A10" s="707" t="s">
        <v>86</v>
      </c>
      <c r="B10" s="707"/>
      <c r="C10" s="707"/>
      <c r="D10" s="707"/>
      <c r="E10" s="707"/>
      <c r="F10" s="707"/>
      <c r="G10" s="707"/>
      <c r="H10" s="707"/>
    </row>
    <row r="11" spans="1:16" ht="36" customHeight="1" x14ac:dyDescent="0.2">
      <c r="A11" s="706" t="s">
        <v>310</v>
      </c>
      <c r="B11" s="706"/>
      <c r="C11" s="706"/>
      <c r="D11" s="706"/>
      <c r="E11" s="706"/>
      <c r="F11" s="706"/>
      <c r="G11" s="706"/>
      <c r="H11" s="706"/>
      <c r="I11" s="721"/>
      <c r="J11" s="721"/>
      <c r="K11" s="721"/>
      <c r="L11" s="721"/>
      <c r="M11" s="721"/>
      <c r="N11" s="721"/>
      <c r="O11" s="721"/>
      <c r="P11" s="721"/>
    </row>
    <row r="12" spans="1:16" ht="18" customHeight="1" x14ac:dyDescent="0.2">
      <c r="A12" s="706"/>
      <c r="B12" s="706"/>
      <c r="C12" s="706"/>
      <c r="D12" s="706"/>
      <c r="E12" s="706"/>
      <c r="F12" s="706"/>
      <c r="G12" s="706"/>
      <c r="H12" s="706"/>
    </row>
    <row r="13" spans="1:16" ht="9.75" customHeight="1" thickBot="1" x14ac:dyDescent="0.25">
      <c r="B13" s="19"/>
      <c r="D13" s="294"/>
      <c r="I13" s="261"/>
      <c r="J13" s="20"/>
      <c r="K13" s="20"/>
      <c r="L13" s="20"/>
      <c r="M13" s="20"/>
      <c r="N13" s="20"/>
    </row>
    <row r="14" spans="1:16" ht="39" customHeight="1" thickBot="1" x14ac:dyDescent="0.25">
      <c r="A14" s="21" t="s">
        <v>22</v>
      </c>
      <c r="B14" s="695" t="s">
        <v>2</v>
      </c>
      <c r="C14" s="696"/>
      <c r="D14" s="22" t="s">
        <v>8</v>
      </c>
      <c r="E14" s="23" t="s">
        <v>3</v>
      </c>
      <c r="F14" s="24" t="s">
        <v>4</v>
      </c>
      <c r="G14" s="639" t="s">
        <v>0</v>
      </c>
      <c r="H14" s="22" t="s">
        <v>5</v>
      </c>
    </row>
    <row r="15" spans="1:16" ht="13.5" thickBot="1" x14ac:dyDescent="0.25">
      <c r="A15" s="25"/>
      <c r="B15" s="695" t="s">
        <v>90</v>
      </c>
      <c r="C15" s="722"/>
      <c r="D15" s="722"/>
      <c r="E15" s="722"/>
      <c r="F15" s="722"/>
      <c r="G15" s="722"/>
      <c r="H15" s="696"/>
    </row>
    <row r="16" spans="1:16" ht="14.25" thickBot="1" x14ac:dyDescent="0.3">
      <c r="A16" s="669" t="s">
        <v>319</v>
      </c>
      <c r="B16" s="670"/>
      <c r="C16" s="670"/>
      <c r="D16" s="670"/>
      <c r="E16" s="670"/>
      <c r="F16" s="670"/>
      <c r="G16" s="670"/>
      <c r="H16" s="671"/>
    </row>
    <row r="17" spans="1:9" x14ac:dyDescent="0.2">
      <c r="A17" s="672">
        <v>1</v>
      </c>
      <c r="B17" s="310" t="s">
        <v>186</v>
      </c>
      <c r="C17" s="311">
        <f>C21+C22</f>
        <v>73</v>
      </c>
      <c r="D17" s="300">
        <f>ROUND(C19+C17*C20,2)</f>
        <v>33066</v>
      </c>
      <c r="E17" s="474"/>
      <c r="F17" s="475"/>
      <c r="G17" s="312"/>
      <c r="H17" s="301"/>
    </row>
    <row r="18" spans="1:9" ht="38.25" x14ac:dyDescent="0.2">
      <c r="A18" s="673"/>
      <c r="B18" s="313" t="s">
        <v>320</v>
      </c>
      <c r="C18" s="314"/>
      <c r="D18" s="329"/>
      <c r="E18" s="588" t="s">
        <v>347</v>
      </c>
      <c r="F18" s="304">
        <v>1.1000000000000001</v>
      </c>
      <c r="G18" s="309"/>
      <c r="H18" s="303"/>
      <c r="I18" s="599"/>
    </row>
    <row r="19" spans="1:9" ht="25.5" x14ac:dyDescent="0.2">
      <c r="A19" s="673"/>
      <c r="B19" s="315" t="s">
        <v>334</v>
      </c>
      <c r="C19" s="287">
        <v>8100</v>
      </c>
      <c r="D19" s="329"/>
      <c r="E19" s="588" t="s">
        <v>346</v>
      </c>
      <c r="F19" s="304">
        <v>1.1499999999999999</v>
      </c>
      <c r="G19" s="309"/>
      <c r="H19" s="476"/>
      <c r="I19" s="598"/>
    </row>
    <row r="20" spans="1:9" x14ac:dyDescent="0.2">
      <c r="A20" s="673"/>
      <c r="B20" s="316" t="s">
        <v>11</v>
      </c>
      <c r="C20" s="287">
        <v>342</v>
      </c>
      <c r="D20" s="329"/>
      <c r="E20" s="588" t="s">
        <v>321</v>
      </c>
      <c r="F20" s="304">
        <v>0.35</v>
      </c>
      <c r="G20" s="307"/>
      <c r="H20" s="308"/>
    </row>
    <row r="21" spans="1:9" x14ac:dyDescent="0.2">
      <c r="A21" s="673"/>
      <c r="B21" s="477" t="s">
        <v>322</v>
      </c>
      <c r="C21" s="330">
        <v>62</v>
      </c>
      <c r="D21" s="551"/>
      <c r="E21" s="526"/>
      <c r="F21" s="304"/>
      <c r="G21" s="536" t="str">
        <f>CONCATENATE(D17,"*",F18,"*",C21,"/",C17)</f>
        <v>33066*1,1*62/73</v>
      </c>
      <c r="H21" s="646">
        <f>ROUND(D17*F18*C21/C17,2)</f>
        <v>30891.8</v>
      </c>
      <c r="I21" s="598"/>
    </row>
    <row r="22" spans="1:9" ht="16.5" customHeight="1" x14ac:dyDescent="0.2">
      <c r="A22" s="673"/>
      <c r="B22" s="477" t="s">
        <v>323</v>
      </c>
      <c r="C22" s="330">
        <v>11</v>
      </c>
      <c r="D22" s="329"/>
      <c r="E22" s="651"/>
      <c r="F22" s="652"/>
      <c r="G22" s="317" t="str">
        <f>CONCATENATE(D17,"*",F18,"*",F19,"*",C22,"/",C17)</f>
        <v>33066*1,1*1,15*11/73</v>
      </c>
      <c r="H22" s="303">
        <f>ROUND(D17*F18*F19*C22/C17,2)</f>
        <v>6302.92</v>
      </c>
      <c r="I22" s="598"/>
    </row>
    <row r="23" spans="1:9" x14ac:dyDescent="0.2">
      <c r="A23" s="673"/>
      <c r="B23" s="477" t="s">
        <v>324</v>
      </c>
      <c r="C23" s="287">
        <f>C21</f>
        <v>62</v>
      </c>
      <c r="D23" s="329"/>
      <c r="E23" s="588"/>
      <c r="F23" s="304"/>
      <c r="G23" s="317" t="str">
        <f>CONCATENATE(D17,"*",F18,"*",F21,"*",F20,"*",C23,"/",C17)</f>
        <v>33066*1,1**0,35*62/73</v>
      </c>
      <c r="H23" s="303">
        <f>ROUND(D17*F18*F20*C23/C17,2)</f>
        <v>10812.13</v>
      </c>
    </row>
    <row r="24" spans="1:9" ht="13.5" thickBot="1" x14ac:dyDescent="0.25">
      <c r="A24" s="674"/>
      <c r="B24" s="477" t="s">
        <v>325</v>
      </c>
      <c r="C24" s="330">
        <f>C22</f>
        <v>11</v>
      </c>
      <c r="D24" s="329"/>
      <c r="E24" s="588"/>
      <c r="F24" s="304"/>
      <c r="G24" s="317" t="str">
        <f>CONCATENATE(D17,"*",F22,"*",F20,"*",C24,"/",C17)</f>
        <v>33066**0,35*11/73</v>
      </c>
      <c r="H24" s="303">
        <f>ROUND(D17*F22*F20*C24/C17,2)</f>
        <v>0</v>
      </c>
    </row>
    <row r="25" spans="1:9" ht="14.25" thickBot="1" x14ac:dyDescent="0.3">
      <c r="A25" s="669" t="s">
        <v>318</v>
      </c>
      <c r="B25" s="670"/>
      <c r="C25" s="670"/>
      <c r="D25" s="670"/>
      <c r="E25" s="670"/>
      <c r="F25" s="670"/>
      <c r="G25" s="670"/>
      <c r="H25" s="671"/>
    </row>
    <row r="26" spans="1:9" ht="13.5" thickBot="1" x14ac:dyDescent="0.25">
      <c r="A26" s="638"/>
      <c r="B26" s="528" t="s">
        <v>326</v>
      </c>
      <c r="C26" s="529"/>
      <c r="D26" s="530"/>
      <c r="E26" s="531"/>
      <c r="F26" s="302"/>
      <c r="G26" s="532"/>
      <c r="H26" s="533"/>
    </row>
    <row r="27" spans="1:9" ht="25.5" x14ac:dyDescent="0.2">
      <c r="A27" s="675">
        <v>2</v>
      </c>
      <c r="B27" s="534" t="s">
        <v>282</v>
      </c>
      <c r="C27" s="535">
        <f>(4.2+4.6)*2*2.7</f>
        <v>47.52000000000001</v>
      </c>
      <c r="D27" s="300">
        <f>C29+C30*C27</f>
        <v>89000</v>
      </c>
      <c r="E27" s="645" t="s">
        <v>335</v>
      </c>
      <c r="F27" s="305">
        <v>1.2</v>
      </c>
      <c r="G27" s="306" t="str">
        <f>CONCATENATE(D27," * ",F27," * ",F28,"*",F29)</f>
        <v>89000 * 1,2 * 1*1</v>
      </c>
      <c r="H27" s="301">
        <f>ROUND(D27*F27*F28*F29,2)</f>
        <v>106800</v>
      </c>
      <c r="I27" s="598"/>
    </row>
    <row r="28" spans="1:9" x14ac:dyDescent="0.2">
      <c r="A28" s="676"/>
      <c r="B28" s="537" t="s">
        <v>327</v>
      </c>
      <c r="C28" s="538"/>
      <c r="D28" s="329"/>
      <c r="E28" s="647" t="s">
        <v>283</v>
      </c>
      <c r="F28" s="304">
        <v>1</v>
      </c>
      <c r="G28" s="307"/>
      <c r="H28" s="308"/>
    </row>
    <row r="29" spans="1:9" ht="25.5" x14ac:dyDescent="0.2">
      <c r="A29" s="676"/>
      <c r="B29" s="540" t="s">
        <v>336</v>
      </c>
      <c r="C29" s="541">
        <v>89000</v>
      </c>
      <c r="D29" s="542"/>
      <c r="E29" s="648" t="s">
        <v>326</v>
      </c>
      <c r="F29" s="304">
        <v>1</v>
      </c>
      <c r="G29" s="307"/>
      <c r="H29" s="543"/>
      <c r="I29" s="599"/>
    </row>
    <row r="30" spans="1:9" ht="13.5" thickBot="1" x14ac:dyDescent="0.25">
      <c r="A30" s="677"/>
      <c r="B30" s="544" t="s">
        <v>11</v>
      </c>
      <c r="C30" s="593"/>
      <c r="D30" s="546"/>
      <c r="E30" s="547"/>
      <c r="F30" s="548"/>
      <c r="G30" s="549"/>
      <c r="H30" s="550"/>
    </row>
    <row r="31" spans="1:9" ht="13.5" thickBot="1" x14ac:dyDescent="0.25">
      <c r="A31" s="638"/>
      <c r="B31" s="528" t="s">
        <v>284</v>
      </c>
      <c r="C31" s="529"/>
      <c r="D31" s="530"/>
      <c r="E31" s="531"/>
      <c r="F31" s="302"/>
      <c r="G31" s="532"/>
      <c r="H31" s="533"/>
    </row>
    <row r="32" spans="1:9" ht="26.25" thickBot="1" x14ac:dyDescent="0.25">
      <c r="A32" s="675">
        <v>3</v>
      </c>
      <c r="B32" s="540" t="s">
        <v>285</v>
      </c>
      <c r="C32" s="649"/>
      <c r="D32" s="551">
        <f>ROUND(C34+C32*C35,2)</f>
        <v>11000</v>
      </c>
      <c r="E32" s="645" t="s">
        <v>335</v>
      </c>
      <c r="F32" s="305">
        <v>1.2</v>
      </c>
      <c r="G32" s="306" t="str">
        <f>CONCATENATE(D32," * ",F32," * ",F33,"*",F34)</f>
        <v>11000 * 1,2 * 1*1</v>
      </c>
      <c r="H32" s="301">
        <f>ROUND(D32*F32*F33*F34,2)</f>
        <v>13200</v>
      </c>
      <c r="I32" s="598"/>
    </row>
    <row r="33" spans="1:9" x14ac:dyDescent="0.2">
      <c r="A33" s="676"/>
      <c r="B33" s="650"/>
      <c r="C33" s="287"/>
      <c r="D33" s="329"/>
      <c r="E33" s="647" t="s">
        <v>286</v>
      </c>
      <c r="F33" s="304">
        <v>1</v>
      </c>
      <c r="G33" s="306"/>
      <c r="H33" s="301"/>
    </row>
    <row r="34" spans="1:9" x14ac:dyDescent="0.2">
      <c r="A34" s="676"/>
      <c r="B34" s="540" t="s">
        <v>337</v>
      </c>
      <c r="C34" s="287">
        <v>11000</v>
      </c>
      <c r="D34" s="329"/>
      <c r="E34" s="648" t="s">
        <v>284</v>
      </c>
      <c r="F34" s="304">
        <v>1</v>
      </c>
      <c r="G34" s="307"/>
      <c r="H34" s="543"/>
      <c r="I34" s="599"/>
    </row>
    <row r="35" spans="1:9" ht="13.5" thickBot="1" x14ac:dyDescent="0.25">
      <c r="A35" s="677"/>
      <c r="B35" s="544" t="s">
        <v>11</v>
      </c>
      <c r="C35" s="545"/>
      <c r="D35" s="554"/>
      <c r="E35" s="555"/>
      <c r="F35" s="556"/>
      <c r="G35" s="549"/>
      <c r="H35" s="550"/>
    </row>
    <row r="36" spans="1:9" ht="14.25" thickBot="1" x14ac:dyDescent="0.25">
      <c r="A36" s="678" t="s">
        <v>328</v>
      </c>
      <c r="B36" s="679"/>
      <c r="C36" s="679"/>
      <c r="D36" s="679"/>
      <c r="E36" s="679"/>
      <c r="F36" s="679"/>
      <c r="G36" s="679"/>
      <c r="H36" s="680"/>
    </row>
    <row r="37" spans="1:9" x14ac:dyDescent="0.2">
      <c r="A37" s="672">
        <v>4</v>
      </c>
      <c r="B37" s="584" t="s">
        <v>306</v>
      </c>
      <c r="C37" s="585">
        <v>33</v>
      </c>
      <c r="D37" s="586">
        <f>ROUND(C39+C37*C40,2)</f>
        <v>82000</v>
      </c>
      <c r="E37" s="588" t="s">
        <v>329</v>
      </c>
      <c r="F37" s="304">
        <v>0.35</v>
      </c>
      <c r="G37" s="536" t="str">
        <f>CONCATENATE(D37,"*",F38,"*","(",1,"+",F37,")")</f>
        <v>82000*0,4*(1+0,35)</v>
      </c>
      <c r="H37" s="646">
        <f>ROUND(D37*F38*(1+F37),2)</f>
        <v>44280</v>
      </c>
    </row>
    <row r="38" spans="1:9" ht="25.5" x14ac:dyDescent="0.2">
      <c r="A38" s="673"/>
      <c r="B38" s="313" t="s">
        <v>330</v>
      </c>
      <c r="C38" s="587"/>
      <c r="D38" s="329"/>
      <c r="E38" s="588" t="s">
        <v>338</v>
      </c>
      <c r="F38" s="304">
        <v>0.4</v>
      </c>
      <c r="G38" s="320"/>
      <c r="H38" s="4"/>
      <c r="I38" s="599"/>
    </row>
    <row r="39" spans="1:9" x14ac:dyDescent="0.2">
      <c r="A39" s="673"/>
      <c r="B39" s="589" t="s">
        <v>339</v>
      </c>
      <c r="C39" s="590">
        <v>82000</v>
      </c>
      <c r="D39" s="329"/>
      <c r="E39" s="591"/>
      <c r="F39" s="321"/>
      <c r="G39" s="320"/>
      <c r="H39" s="322"/>
      <c r="I39" s="599"/>
    </row>
    <row r="40" spans="1:9" ht="13.5" thickBot="1" x14ac:dyDescent="0.25">
      <c r="A40" s="674"/>
      <c r="B40" s="592" t="s">
        <v>11</v>
      </c>
      <c r="C40" s="593"/>
      <c r="D40" s="546"/>
      <c r="E40" s="594"/>
      <c r="F40" s="258"/>
      <c r="G40" s="549"/>
      <c r="H40" s="533"/>
    </row>
    <row r="41" spans="1:9" ht="14.25" thickBot="1" x14ac:dyDescent="0.25">
      <c r="A41" s="678" t="s">
        <v>331</v>
      </c>
      <c r="B41" s="679"/>
      <c r="C41" s="679"/>
      <c r="D41" s="679"/>
      <c r="E41" s="679"/>
      <c r="F41" s="679"/>
      <c r="G41" s="679"/>
      <c r="H41" s="680"/>
    </row>
    <row r="42" spans="1:9" x14ac:dyDescent="0.2">
      <c r="A42" s="672">
        <v>5</v>
      </c>
      <c r="B42" s="584" t="s">
        <v>306</v>
      </c>
      <c r="C42" s="585">
        <v>46</v>
      </c>
      <c r="D42" s="586">
        <f>ROUND(C44+C42*C45,2)</f>
        <v>25200</v>
      </c>
      <c r="E42" s="588" t="s">
        <v>329</v>
      </c>
      <c r="F42" s="304">
        <v>0.35</v>
      </c>
      <c r="G42" s="536" t="str">
        <f>CONCATENATE(D42,"*",F43,"*","(",1,"+",F42,")")</f>
        <v>25200*0,4*(1+0,35)</v>
      </c>
      <c r="H42" s="646">
        <f>ROUND(D42*F43*(1+F42),2)</f>
        <v>13608</v>
      </c>
    </row>
    <row r="43" spans="1:9" ht="38.25" x14ac:dyDescent="0.2">
      <c r="A43" s="673"/>
      <c r="B43" s="313" t="s">
        <v>332</v>
      </c>
      <c r="C43" s="587"/>
      <c r="D43" s="329"/>
      <c r="E43" s="588" t="s">
        <v>338</v>
      </c>
      <c r="F43" s="304">
        <v>0.4</v>
      </c>
      <c r="G43" s="320"/>
      <c r="H43" s="4"/>
      <c r="I43" s="599"/>
    </row>
    <row r="44" spans="1:9" x14ac:dyDescent="0.2">
      <c r="A44" s="673"/>
      <c r="B44" s="589" t="s">
        <v>334</v>
      </c>
      <c r="C44" s="590">
        <v>25200</v>
      </c>
      <c r="D44" s="329"/>
      <c r="E44" s="591"/>
      <c r="F44" s="321"/>
      <c r="G44" s="320"/>
      <c r="H44" s="322"/>
      <c r="I44" s="599"/>
    </row>
    <row r="45" spans="1:9" ht="13.5" thickBot="1" x14ac:dyDescent="0.25">
      <c r="A45" s="674"/>
      <c r="B45" s="592" t="s">
        <v>11</v>
      </c>
      <c r="C45" s="593"/>
      <c r="D45" s="546"/>
      <c r="E45" s="594"/>
      <c r="F45" s="258"/>
      <c r="G45" s="549"/>
      <c r="H45" s="533"/>
    </row>
    <row r="46" spans="1:9" ht="14.25" thickBot="1" x14ac:dyDescent="0.25">
      <c r="A46" s="681" t="s">
        <v>307</v>
      </c>
      <c r="B46" s="682"/>
      <c r="C46" s="682"/>
      <c r="D46" s="682"/>
      <c r="E46" s="682"/>
      <c r="F46" s="682"/>
      <c r="G46" s="682"/>
      <c r="H46" s="683"/>
    </row>
    <row r="47" spans="1:9" ht="25.5" x14ac:dyDescent="0.2">
      <c r="A47" s="684">
        <v>6</v>
      </c>
      <c r="B47" s="534" t="s">
        <v>308</v>
      </c>
      <c r="C47" s="535">
        <f>(2.8+3.2)*2*2.3</f>
        <v>27.599999999999998</v>
      </c>
      <c r="D47" s="2">
        <f>ROUND(C49+C47*C50,2)</f>
        <v>59000</v>
      </c>
      <c r="E47" s="552"/>
      <c r="F47" s="552"/>
      <c r="G47" s="552"/>
      <c r="H47" s="553"/>
    </row>
    <row r="48" spans="1:9" x14ac:dyDescent="0.2">
      <c r="A48" s="685"/>
      <c r="B48" s="537" t="s">
        <v>333</v>
      </c>
      <c r="C48" s="595"/>
      <c r="D48" s="329"/>
      <c r="E48" s="539" t="s">
        <v>283</v>
      </c>
      <c r="F48" s="304">
        <v>4</v>
      </c>
      <c r="G48" s="536" t="str">
        <f>CONCATENATE(D47," * ",F49," * ",F48)</f>
        <v>59000 * 0,4 * 4</v>
      </c>
      <c r="H48" s="303">
        <f>ROUND(D47*F49*F48,2)</f>
        <v>94400</v>
      </c>
    </row>
    <row r="49" spans="1:18" ht="25.5" x14ac:dyDescent="0.2">
      <c r="A49" s="685"/>
      <c r="B49" s="540" t="s">
        <v>340</v>
      </c>
      <c r="C49" s="590">
        <v>59000</v>
      </c>
      <c r="D49" s="3"/>
      <c r="E49" s="588" t="s">
        <v>338</v>
      </c>
      <c r="F49" s="304">
        <v>0.4</v>
      </c>
      <c r="G49" s="307"/>
      <c r="H49" s="308"/>
      <c r="I49" s="599"/>
    </row>
    <row r="50" spans="1:18" ht="13.5" thickBot="1" x14ac:dyDescent="0.25">
      <c r="A50" s="686"/>
      <c r="B50" s="544" t="s">
        <v>11</v>
      </c>
      <c r="C50" s="593"/>
      <c r="D50" s="546"/>
      <c r="E50" s="555"/>
      <c r="F50" s="556"/>
      <c r="G50" s="596"/>
      <c r="H50" s="550"/>
    </row>
    <row r="51" spans="1:18" ht="25.5" x14ac:dyDescent="0.2">
      <c r="A51" s="684">
        <v>7</v>
      </c>
      <c r="B51" s="534" t="s">
        <v>309</v>
      </c>
      <c r="C51" s="597"/>
      <c r="D51" s="300">
        <f>ROUND(C52+C51*0,2)</f>
        <v>11000</v>
      </c>
      <c r="E51" s="539" t="s">
        <v>286</v>
      </c>
      <c r="F51" s="304">
        <v>7</v>
      </c>
      <c r="G51" s="536" t="str">
        <f>CONCATENATE(D51," * ",F52," * ",F51)</f>
        <v>11000 * 0,4 * 7</v>
      </c>
      <c r="H51" s="303">
        <f>ROUND(D51*F52*F51,2)</f>
        <v>30800</v>
      </c>
    </row>
    <row r="52" spans="1:18" ht="25.5" x14ac:dyDescent="0.2">
      <c r="A52" s="685"/>
      <c r="B52" s="540" t="s">
        <v>337</v>
      </c>
      <c r="C52" s="590">
        <v>11000</v>
      </c>
      <c r="D52" s="329"/>
      <c r="E52" s="588" t="s">
        <v>338</v>
      </c>
      <c r="F52" s="304">
        <v>0.4</v>
      </c>
      <c r="G52" s="307"/>
      <c r="H52" s="308"/>
      <c r="I52" s="599"/>
    </row>
    <row r="53" spans="1:18" ht="13.5" thickBot="1" x14ac:dyDescent="0.25">
      <c r="A53" s="686"/>
      <c r="B53" s="544" t="s">
        <v>11</v>
      </c>
      <c r="C53" s="593"/>
      <c r="D53" s="546"/>
      <c r="E53" s="555"/>
      <c r="F53" s="556"/>
      <c r="G53" s="596"/>
      <c r="H53" s="550"/>
    </row>
    <row r="54" spans="1:18" ht="14.25" thickBot="1" x14ac:dyDescent="0.3">
      <c r="A54" s="669" t="s">
        <v>187</v>
      </c>
      <c r="B54" s="670"/>
      <c r="C54" s="670"/>
      <c r="D54" s="670"/>
      <c r="E54" s="670"/>
      <c r="F54" s="670"/>
      <c r="G54" s="670"/>
      <c r="H54" s="671"/>
    </row>
    <row r="55" spans="1:18" x14ac:dyDescent="0.2">
      <c r="A55" s="672">
        <v>7</v>
      </c>
      <c r="B55" s="723" t="s">
        <v>188</v>
      </c>
      <c r="C55" s="470">
        <f>C17</f>
        <v>73</v>
      </c>
      <c r="D55" s="2">
        <f>ROUND(C57+C55*C58,2)</f>
        <v>21000</v>
      </c>
      <c r="E55" s="318"/>
      <c r="F55" s="305"/>
      <c r="G55" s="306">
        <f>ROUND(D55,2)</f>
        <v>21000</v>
      </c>
      <c r="H55" s="319">
        <f>ROUND(D55,2)</f>
        <v>21000</v>
      </c>
      <c r="I55" s="558"/>
    </row>
    <row r="56" spans="1:18" ht="40.5" customHeight="1" x14ac:dyDescent="0.2">
      <c r="A56" s="673"/>
      <c r="B56" s="724"/>
      <c r="C56" s="471"/>
      <c r="D56" s="3"/>
      <c r="E56" s="472"/>
      <c r="F56" s="302"/>
      <c r="G56" s="320"/>
      <c r="H56" s="4"/>
    </row>
    <row r="57" spans="1:18" x14ac:dyDescent="0.2">
      <c r="A57" s="673"/>
      <c r="B57" s="643" t="s">
        <v>345</v>
      </c>
      <c r="C57" s="473">
        <v>21000</v>
      </c>
      <c r="D57" s="3"/>
      <c r="E57" s="472"/>
      <c r="F57" s="321"/>
      <c r="G57" s="320"/>
      <c r="H57" s="322"/>
      <c r="I57" s="599"/>
    </row>
    <row r="58" spans="1:18" ht="13.5" thickBot="1" x14ac:dyDescent="0.25">
      <c r="A58" s="673"/>
      <c r="B58" s="323" t="s">
        <v>11</v>
      </c>
      <c r="C58" s="473"/>
      <c r="D58" s="3"/>
      <c r="E58" s="472"/>
      <c r="F58" s="321"/>
      <c r="G58" s="324"/>
      <c r="H58" s="325"/>
    </row>
    <row r="59" spans="1:18" ht="13.5" thickBot="1" x14ac:dyDescent="0.25">
      <c r="A59" s="642"/>
      <c r="B59" s="663" t="s">
        <v>81</v>
      </c>
      <c r="C59" s="664"/>
      <c r="D59" s="664"/>
      <c r="E59" s="664"/>
      <c r="F59" s="664"/>
      <c r="G59" s="665"/>
      <c r="H59" s="284">
        <f>SUM(H17:H58)</f>
        <v>372094.85</v>
      </c>
    </row>
    <row r="60" spans="1:18" ht="48" thickBot="1" x14ac:dyDescent="0.25">
      <c r="A60" s="26"/>
      <c r="B60" s="662" t="s">
        <v>91</v>
      </c>
      <c r="C60" s="662"/>
      <c r="D60" s="662"/>
      <c r="E60" s="629" t="s">
        <v>313</v>
      </c>
      <c r="F60" s="28">
        <v>1.02</v>
      </c>
      <c r="G60" s="29" t="str">
        <f>CONCATENATE(H59," * ",F60)</f>
        <v>372094,85 * 1,02</v>
      </c>
      <c r="H60" s="43">
        <f>ROUND(H59*F60,2)</f>
        <v>379536.75</v>
      </c>
      <c r="I60" s="637"/>
      <c r="J60" s="689"/>
      <c r="K60" s="689"/>
      <c r="L60" s="687" t="s">
        <v>288</v>
      </c>
      <c r="M60" s="687"/>
      <c r="N60" s="687"/>
      <c r="O60" s="429"/>
      <c r="P60" s="687" t="s">
        <v>289</v>
      </c>
      <c r="Q60" s="687"/>
      <c r="R60" s="687"/>
    </row>
    <row r="61" spans="1:18" ht="13.5" customHeight="1" thickBot="1" x14ac:dyDescent="0.25">
      <c r="A61" s="666" t="s">
        <v>12</v>
      </c>
      <c r="B61" s="667"/>
      <c r="C61" s="667"/>
      <c r="D61" s="667"/>
      <c r="E61" s="667"/>
      <c r="F61" s="667"/>
      <c r="G61" s="667"/>
      <c r="H61" s="668"/>
      <c r="J61" s="688" t="s">
        <v>135</v>
      </c>
      <c r="K61" s="688" t="s">
        <v>136</v>
      </c>
      <c r="L61" s="688" t="s">
        <v>137</v>
      </c>
      <c r="M61" s="688" t="s">
        <v>138</v>
      </c>
      <c r="N61" s="688"/>
      <c r="O61" s="565"/>
      <c r="P61" s="688" t="s">
        <v>290</v>
      </c>
      <c r="Q61" s="688" t="s">
        <v>138</v>
      </c>
      <c r="R61" s="688"/>
    </row>
    <row r="62" spans="1:18" ht="40.15" customHeight="1" thickBot="1" x14ac:dyDescent="0.25">
      <c r="A62" s="691" t="s">
        <v>314</v>
      </c>
      <c r="B62" s="692"/>
      <c r="C62" s="692"/>
      <c r="D62" s="692"/>
      <c r="E62" s="692"/>
      <c r="F62" s="692"/>
      <c r="G62" s="692"/>
      <c r="H62" s="693"/>
      <c r="I62" s="598"/>
      <c r="J62" s="688"/>
      <c r="K62" s="688"/>
      <c r="L62" s="688"/>
      <c r="M62" s="566" t="s">
        <v>139</v>
      </c>
      <c r="N62" s="566" t="s">
        <v>140</v>
      </c>
      <c r="O62" s="565"/>
      <c r="P62" s="688"/>
      <c r="Q62" s="566" t="s">
        <v>139</v>
      </c>
      <c r="R62" s="566" t="s">
        <v>140</v>
      </c>
    </row>
    <row r="63" spans="1:18" ht="13.5" customHeight="1" thickBot="1" x14ac:dyDescent="0.25">
      <c r="A63" s="708"/>
      <c r="B63" s="709"/>
      <c r="C63" s="709"/>
      <c r="D63" s="709"/>
      <c r="E63" s="709"/>
      <c r="F63" s="709"/>
      <c r="G63" s="709"/>
      <c r="H63" s="710"/>
      <c r="J63" s="711">
        <v>1</v>
      </c>
      <c r="K63" s="711" t="s">
        <v>141</v>
      </c>
      <c r="L63" s="567" t="s">
        <v>142</v>
      </c>
      <c r="M63" s="567">
        <v>48</v>
      </c>
      <c r="N63" s="567" t="s">
        <v>143</v>
      </c>
      <c r="P63" s="568" t="s">
        <v>291</v>
      </c>
      <c r="Q63" s="567">
        <v>10.6</v>
      </c>
      <c r="R63" s="567" t="s">
        <v>143</v>
      </c>
    </row>
    <row r="64" spans="1:18" ht="26.25" customHeight="1" thickBot="1" x14ac:dyDescent="0.25">
      <c r="A64" s="23" t="s">
        <v>16</v>
      </c>
      <c r="B64" s="695" t="s">
        <v>2</v>
      </c>
      <c r="C64" s="696"/>
      <c r="D64" s="22" t="s">
        <v>8</v>
      </c>
      <c r="E64" s="23" t="s">
        <v>3</v>
      </c>
      <c r="F64" s="24" t="s">
        <v>4</v>
      </c>
      <c r="G64" s="639" t="s">
        <v>0</v>
      </c>
      <c r="H64" s="22" t="s">
        <v>5</v>
      </c>
      <c r="J64" s="711"/>
      <c r="K64" s="711"/>
      <c r="L64" s="567" t="s">
        <v>144</v>
      </c>
      <c r="M64" s="567">
        <v>2</v>
      </c>
      <c r="N64" s="567">
        <v>92</v>
      </c>
      <c r="P64" s="568" t="s">
        <v>292</v>
      </c>
      <c r="Q64" s="567">
        <v>2</v>
      </c>
      <c r="R64" s="567">
        <v>1.72E-2</v>
      </c>
    </row>
    <row r="65" spans="1:18" ht="25.5" x14ac:dyDescent="0.2">
      <c r="A65" s="697">
        <v>1</v>
      </c>
      <c r="B65" s="614" t="s">
        <v>315</v>
      </c>
      <c r="C65" s="615">
        <f>C73</f>
        <v>7.2999999999999995E-2</v>
      </c>
      <c r="D65" s="616">
        <f>ROUND(C66+C67*C65,2)</f>
        <v>48000</v>
      </c>
      <c r="E65" s="617"/>
      <c r="F65" s="618"/>
      <c r="G65" s="619">
        <f>ROUND(D65,2)</f>
        <v>48000</v>
      </c>
      <c r="H65" s="620">
        <f>ROUND(G65,2)</f>
        <v>48000</v>
      </c>
      <c r="J65" s="711"/>
      <c r="K65" s="711"/>
      <c r="L65" s="567" t="s">
        <v>145</v>
      </c>
      <c r="M65" s="567">
        <v>5.5</v>
      </c>
      <c r="N65" s="567">
        <v>88.5</v>
      </c>
      <c r="P65" s="568" t="s">
        <v>293</v>
      </c>
      <c r="Q65" s="567">
        <v>21</v>
      </c>
      <c r="R65" s="567">
        <v>1.34E-2</v>
      </c>
    </row>
    <row r="66" spans="1:18" ht="22.5" x14ac:dyDescent="0.2">
      <c r="A66" s="697"/>
      <c r="B66" s="33" t="s">
        <v>6</v>
      </c>
      <c r="C66" s="630">
        <v>48000</v>
      </c>
      <c r="D66" s="288"/>
      <c r="E66" s="30"/>
      <c r="F66" s="31"/>
      <c r="G66" s="34"/>
      <c r="H66" s="32"/>
      <c r="I66" s="600"/>
      <c r="J66" s="711"/>
      <c r="K66" s="711"/>
      <c r="L66" s="567" t="s">
        <v>146</v>
      </c>
      <c r="M66" s="567">
        <v>93</v>
      </c>
      <c r="N66" s="567">
        <v>71</v>
      </c>
      <c r="P66" s="568" t="s">
        <v>294</v>
      </c>
      <c r="Q66" s="567">
        <v>135</v>
      </c>
      <c r="R66" s="567">
        <v>2E-3</v>
      </c>
    </row>
    <row r="67" spans="1:18" ht="23.25" thickBot="1" x14ac:dyDescent="0.25">
      <c r="A67" s="697"/>
      <c r="B67" s="33" t="s">
        <v>7</v>
      </c>
      <c r="C67" s="631"/>
      <c r="D67" s="288"/>
      <c r="E67" s="30"/>
      <c r="F67" s="31"/>
      <c r="G67" s="35"/>
      <c r="H67" s="4"/>
      <c r="I67" s="402"/>
      <c r="J67" s="711"/>
      <c r="K67" s="711"/>
      <c r="L67" s="567" t="s">
        <v>147</v>
      </c>
      <c r="M67" s="567">
        <v>227</v>
      </c>
      <c r="N67" s="567">
        <v>57.6</v>
      </c>
      <c r="P67" s="568" t="s">
        <v>295</v>
      </c>
      <c r="Q67" s="567">
        <v>180</v>
      </c>
      <c r="R67" s="567">
        <v>1.1000000000000001E-3</v>
      </c>
    </row>
    <row r="68" spans="1:18" ht="23.25" thickBot="1" x14ac:dyDescent="0.25">
      <c r="A68" s="36"/>
      <c r="B68" s="37" t="s">
        <v>17</v>
      </c>
      <c r="C68" s="38"/>
      <c r="D68" s="39"/>
      <c r="E68" s="40"/>
      <c r="F68" s="41"/>
      <c r="G68" s="42"/>
      <c r="H68" s="43">
        <f>H65</f>
        <v>48000</v>
      </c>
      <c r="I68" s="262"/>
      <c r="J68" s="711"/>
      <c r="K68" s="711"/>
      <c r="L68" s="567" t="s">
        <v>148</v>
      </c>
      <c r="M68" s="567">
        <v>281</v>
      </c>
      <c r="N68" s="567">
        <v>54</v>
      </c>
      <c r="P68" s="568" t="s">
        <v>296</v>
      </c>
      <c r="Q68" s="567">
        <v>220</v>
      </c>
      <c r="R68" s="567">
        <v>6.9999999999999999E-4</v>
      </c>
    </row>
    <row r="69" spans="1:18" ht="23.25" thickBot="1" x14ac:dyDescent="0.25">
      <c r="A69" s="698" t="s">
        <v>9</v>
      </c>
      <c r="B69" s="699"/>
      <c r="C69" s="699"/>
      <c r="D69" s="699"/>
      <c r="E69" s="699"/>
      <c r="F69" s="699"/>
      <c r="G69" s="699"/>
      <c r="H69" s="700"/>
      <c r="I69" s="262"/>
      <c r="J69" s="711"/>
      <c r="K69" s="711"/>
      <c r="L69" s="567" t="s">
        <v>149</v>
      </c>
      <c r="M69" s="567">
        <v>361</v>
      </c>
      <c r="N69" s="567">
        <v>50</v>
      </c>
      <c r="P69" s="568" t="s">
        <v>297</v>
      </c>
      <c r="Q69" s="567">
        <v>360</v>
      </c>
      <c r="R69" s="567" t="s">
        <v>143</v>
      </c>
    </row>
    <row r="70" spans="1:18" ht="45.75" customHeight="1" thickBot="1" x14ac:dyDescent="0.25">
      <c r="A70" s="691" t="s">
        <v>316</v>
      </c>
      <c r="B70" s="692"/>
      <c r="C70" s="692"/>
      <c r="D70" s="692"/>
      <c r="E70" s="692"/>
      <c r="F70" s="692"/>
      <c r="G70" s="692"/>
      <c r="H70" s="693"/>
      <c r="I70" s="598"/>
      <c r="J70" s="711"/>
      <c r="K70" s="711"/>
      <c r="L70" s="567" t="s">
        <v>150</v>
      </c>
      <c r="M70" s="567">
        <v>700</v>
      </c>
      <c r="N70" s="567">
        <v>38.700000000000003</v>
      </c>
    </row>
    <row r="71" spans="1:18" x14ac:dyDescent="0.2">
      <c r="A71" s="44"/>
      <c r="B71" s="45" t="s">
        <v>72</v>
      </c>
      <c r="C71" s="559">
        <f>C55</f>
        <v>73</v>
      </c>
      <c r="D71" s="46" t="s">
        <v>14</v>
      </c>
      <c r="E71" s="47"/>
      <c r="F71" s="47"/>
      <c r="G71" s="47"/>
      <c r="H71" s="266"/>
      <c r="I71" s="262"/>
      <c r="J71" s="711"/>
      <c r="K71" s="711"/>
      <c r="L71" s="567" t="s">
        <v>151</v>
      </c>
      <c r="M71" s="567">
        <v>2248</v>
      </c>
      <c r="N71" s="567" t="s">
        <v>143</v>
      </c>
    </row>
    <row r="72" spans="1:18" ht="15" customHeight="1" x14ac:dyDescent="0.2">
      <c r="A72" s="48"/>
      <c r="B72" s="49" t="s">
        <v>112</v>
      </c>
      <c r="C72" s="560">
        <f>ROUND(C71*10,2)</f>
        <v>730</v>
      </c>
      <c r="D72" s="50" t="s">
        <v>113</v>
      </c>
      <c r="E72" s="51"/>
      <c r="F72" s="51"/>
      <c r="G72" s="51"/>
      <c r="H72" s="267"/>
      <c r="I72" s="262"/>
      <c r="J72" s="294"/>
      <c r="K72" s="294"/>
      <c r="L72" s="294"/>
      <c r="M72" s="294"/>
      <c r="N72" s="294"/>
    </row>
    <row r="73" spans="1:18" ht="15.75" customHeight="1" thickBot="1" x14ac:dyDescent="0.25">
      <c r="A73" s="52"/>
      <c r="B73" s="53" t="s">
        <v>112</v>
      </c>
      <c r="C73" s="561">
        <f>ROUND(C72/10000,3)</f>
        <v>7.2999999999999995E-2</v>
      </c>
      <c r="D73" s="54" t="s">
        <v>15</v>
      </c>
      <c r="E73" s="55"/>
      <c r="F73" s="55"/>
      <c r="G73" s="55"/>
      <c r="H73" s="268"/>
      <c r="I73" s="262"/>
      <c r="J73" s="294"/>
      <c r="K73" s="294"/>
      <c r="L73" s="294"/>
      <c r="M73" s="294"/>
      <c r="N73" s="294"/>
    </row>
    <row r="74" spans="1:18" ht="12.75" customHeight="1" x14ac:dyDescent="0.2">
      <c r="A74" s="56"/>
      <c r="B74" s="694" t="s">
        <v>93</v>
      </c>
      <c r="C74" s="694"/>
      <c r="D74" s="694"/>
      <c r="E74" s="57"/>
      <c r="F74" s="58"/>
      <c r="G74" s="59" t="s">
        <v>13</v>
      </c>
      <c r="H74" s="285"/>
      <c r="I74" s="262"/>
      <c r="J74" s="715" t="s">
        <v>153</v>
      </c>
      <c r="K74" s="716"/>
      <c r="L74" s="716"/>
      <c r="M74" s="716"/>
      <c r="N74" s="717"/>
      <c r="O74" s="64"/>
      <c r="P74" s="64"/>
      <c r="Q74" s="64"/>
      <c r="R74" s="64"/>
    </row>
    <row r="75" spans="1:18" s="64" customFormat="1" ht="39" customHeight="1" x14ac:dyDescent="0.2">
      <c r="A75" s="60">
        <v>1</v>
      </c>
      <c r="B75" s="396" t="s">
        <v>239</v>
      </c>
      <c r="C75" s="397"/>
      <c r="D75" s="61">
        <v>2038</v>
      </c>
      <c r="E75" s="644" t="s">
        <v>241</v>
      </c>
      <c r="F75" s="62">
        <v>0.75</v>
      </c>
      <c r="G75" s="63" t="str">
        <f>CONCATENATE(D75,"*",F75)</f>
        <v>2038*0,75</v>
      </c>
      <c r="H75" s="286">
        <f>ROUND(D75*F75,2)</f>
        <v>1528.5</v>
      </c>
      <c r="I75" s="263"/>
      <c r="J75" s="718" t="s">
        <v>152</v>
      </c>
      <c r="K75" s="719"/>
      <c r="L75" s="719"/>
      <c r="M75" s="719"/>
      <c r="N75" s="720"/>
    </row>
    <row r="76" spans="1:18" s="64" customFormat="1" ht="39" customHeight="1" x14ac:dyDescent="0.2">
      <c r="A76" s="60">
        <v>2</v>
      </c>
      <c r="B76" s="396" t="s">
        <v>240</v>
      </c>
      <c r="C76" s="397"/>
      <c r="D76" s="61">
        <v>8099</v>
      </c>
      <c r="E76" s="644" t="s">
        <v>243</v>
      </c>
      <c r="F76" s="62">
        <v>0.75</v>
      </c>
      <c r="G76" s="63" t="str">
        <f t="shared" ref="G76:G79" si="0">CONCATENATE(D76,"*",F76)</f>
        <v>8099*0,75</v>
      </c>
      <c r="H76" s="286">
        <f t="shared" ref="H76:H79" si="1">ROUND(D76*F76,2)</f>
        <v>6074.25</v>
      </c>
      <c r="I76" s="263"/>
      <c r="J76" s="718" t="s">
        <v>154</v>
      </c>
      <c r="K76" s="719"/>
      <c r="L76" s="719"/>
      <c r="M76" s="719"/>
      <c r="N76" s="720"/>
      <c r="O76" s="65"/>
      <c r="P76" s="65"/>
      <c r="Q76" s="65"/>
      <c r="R76" s="65"/>
    </row>
    <row r="77" spans="1:18" s="65" customFormat="1" ht="39" customHeight="1" x14ac:dyDescent="0.2">
      <c r="A77" s="60">
        <v>3</v>
      </c>
      <c r="B77" s="396" t="s">
        <v>242</v>
      </c>
      <c r="C77" s="397"/>
      <c r="D77" s="61">
        <v>2038</v>
      </c>
      <c r="E77" s="644" t="s">
        <v>245</v>
      </c>
      <c r="F77" s="62">
        <v>0.75</v>
      </c>
      <c r="G77" s="63" t="str">
        <f t="shared" si="0"/>
        <v>2038*0,75</v>
      </c>
      <c r="H77" s="286">
        <f t="shared" si="1"/>
        <v>1528.5</v>
      </c>
      <c r="I77" s="264"/>
      <c r="J77" s="718" t="s">
        <v>155</v>
      </c>
      <c r="K77" s="719"/>
      <c r="L77" s="719"/>
      <c r="M77" s="719"/>
      <c r="N77" s="720"/>
    </row>
    <row r="78" spans="1:18" s="65" customFormat="1" ht="39" customHeight="1" x14ac:dyDescent="0.2">
      <c r="A78" s="60">
        <v>4</v>
      </c>
      <c r="B78" s="396" t="s">
        <v>244</v>
      </c>
      <c r="C78" s="397"/>
      <c r="D78" s="61">
        <v>2495</v>
      </c>
      <c r="E78" s="644" t="s">
        <v>247</v>
      </c>
      <c r="F78" s="62">
        <v>0.75</v>
      </c>
      <c r="G78" s="63" t="str">
        <f t="shared" si="0"/>
        <v>2495*0,75</v>
      </c>
      <c r="H78" s="286">
        <f t="shared" si="1"/>
        <v>1871.25</v>
      </c>
      <c r="I78" s="264"/>
      <c r="J78" s="712" t="s">
        <v>156</v>
      </c>
      <c r="K78" s="713"/>
      <c r="L78" s="713"/>
      <c r="M78" s="713"/>
      <c r="N78" s="714"/>
    </row>
    <row r="79" spans="1:18" s="65" customFormat="1" ht="39" customHeight="1" thickBot="1" x14ac:dyDescent="0.25">
      <c r="A79" s="66">
        <v>5</v>
      </c>
      <c r="B79" s="398" t="s">
        <v>246</v>
      </c>
      <c r="C79" s="399"/>
      <c r="D79" s="67">
        <v>4074</v>
      </c>
      <c r="E79" s="644" t="s">
        <v>298</v>
      </c>
      <c r="F79" s="62">
        <v>0.75</v>
      </c>
      <c r="G79" s="63" t="str">
        <f t="shared" si="0"/>
        <v>4074*0,75</v>
      </c>
      <c r="H79" s="286">
        <f t="shared" si="1"/>
        <v>3055.5</v>
      </c>
      <c r="I79" s="264"/>
      <c r="J79" s="299"/>
      <c r="K79" s="70"/>
      <c r="L79" s="70"/>
      <c r="M79" s="70"/>
      <c r="N79" s="70"/>
      <c r="O79" s="291"/>
      <c r="P79" s="291"/>
      <c r="Q79" s="291"/>
      <c r="R79" s="291"/>
    </row>
    <row r="80" spans="1:18" s="291" customFormat="1" ht="13.5" thickBot="1" x14ac:dyDescent="0.25">
      <c r="A80" s="68"/>
      <c r="B80" s="701" t="s">
        <v>10</v>
      </c>
      <c r="C80" s="702"/>
      <c r="D80" s="702"/>
      <c r="E80" s="702"/>
      <c r="F80" s="702"/>
      <c r="G80" s="703"/>
      <c r="H80" s="69">
        <f>ROUND(H75+H76+H77+H78+H79,2)</f>
        <v>14058</v>
      </c>
      <c r="I80" s="265"/>
      <c r="J80" s="228" t="s">
        <v>168</v>
      </c>
      <c r="K80" s="289"/>
      <c r="L80" s="289"/>
      <c r="M80" s="289"/>
      <c r="N80" s="289"/>
      <c r="O80" s="78"/>
      <c r="P80" s="290"/>
      <c r="Q80" s="80"/>
      <c r="R80" s="81"/>
    </row>
    <row r="81" spans="1:18" s="289" customFormat="1" ht="13.5" thickBot="1" x14ac:dyDescent="0.25">
      <c r="A81" s="72"/>
      <c r="B81" s="73" t="s">
        <v>82</v>
      </c>
      <c r="C81" s="74"/>
      <c r="D81" s="75"/>
      <c r="E81" s="75"/>
      <c r="F81" s="75"/>
      <c r="G81" s="75"/>
      <c r="H81" s="43">
        <f>ROUND(H60+H68+H80,2)</f>
        <v>441594.75</v>
      </c>
      <c r="I81" s="227">
        <f>H59+H68+H80</f>
        <v>434152.85</v>
      </c>
      <c r="O81" s="78"/>
      <c r="P81" s="290"/>
      <c r="Q81" s="80"/>
      <c r="R81" s="81"/>
    </row>
    <row r="82" spans="1:18" s="289" customFormat="1" ht="39.75" hidden="1" customHeight="1" thickBot="1" x14ac:dyDescent="0.25">
      <c r="A82" s="26"/>
      <c r="B82" s="690" t="s">
        <v>92</v>
      </c>
      <c r="C82" s="690"/>
      <c r="D82" s="690"/>
      <c r="E82" s="27" t="s">
        <v>114</v>
      </c>
      <c r="F82" s="293">
        <v>1</v>
      </c>
      <c r="G82" s="293" t="str">
        <f>CONCATENATE(H81," х ",F82)</f>
        <v>441594,75 х 1</v>
      </c>
      <c r="H82" s="43">
        <f>ROUND(H81*F82,2)</f>
        <v>441594.75</v>
      </c>
      <c r="I82" s="228"/>
      <c r="O82" s="78"/>
      <c r="P82" s="290"/>
      <c r="Q82" s="80"/>
      <c r="R82" s="81"/>
    </row>
    <row r="83" spans="1:18" s="289" customFormat="1" x14ac:dyDescent="0.2">
      <c r="A83" s="83"/>
      <c r="B83" s="84"/>
      <c r="C83" s="85"/>
      <c r="D83" s="84"/>
      <c r="E83" s="20"/>
      <c r="F83" s="86"/>
      <c r="G83" s="296"/>
      <c r="H83" s="87"/>
      <c r="I83" s="228"/>
      <c r="O83" s="78"/>
      <c r="P83" s="290"/>
      <c r="Q83" s="80"/>
      <c r="R83" s="81"/>
    </row>
    <row r="84" spans="1:18" s="289" customFormat="1" ht="15.75" x14ac:dyDescent="0.2">
      <c r="A84" s="294"/>
      <c r="B84" s="294"/>
      <c r="C84" s="15"/>
      <c r="D84" s="295"/>
      <c r="E84" s="294"/>
      <c r="F84" s="296"/>
      <c r="G84" s="294"/>
      <c r="H84" s="297"/>
      <c r="I84" s="228"/>
      <c r="J84" s="418"/>
      <c r="K84" s="418"/>
      <c r="L84" s="418"/>
      <c r="M84" s="418"/>
      <c r="N84" s="418"/>
      <c r="O84" s="418"/>
      <c r="P84" s="418"/>
      <c r="Q84" s="418"/>
      <c r="R84" s="418"/>
    </row>
    <row r="85" spans="1:18" s="418" customFormat="1" ht="15.75" x14ac:dyDescent="0.2">
      <c r="A85" s="411"/>
      <c r="B85" s="294"/>
      <c r="C85" s="294"/>
      <c r="D85" s="294"/>
      <c r="E85" s="294"/>
      <c r="G85" s="422"/>
      <c r="J85" s="420"/>
      <c r="K85" s="420"/>
      <c r="L85" s="420"/>
      <c r="M85" s="420"/>
      <c r="N85" s="420"/>
      <c r="O85" s="420"/>
      <c r="P85" s="420"/>
      <c r="Q85" s="420"/>
      <c r="R85" s="420"/>
    </row>
    <row r="86" spans="1:18" s="420" customFormat="1" ht="15.75" x14ac:dyDescent="0.2">
      <c r="A86" s="411"/>
      <c r="B86" s="17">
        <f>'С С Р'!B29</f>
        <v>0</v>
      </c>
      <c r="C86" s="17"/>
      <c r="D86" s="17"/>
      <c r="E86" s="17"/>
      <c r="F86" s="421"/>
      <c r="G86" s="632"/>
      <c r="H86" s="632"/>
      <c r="J86" s="411"/>
      <c r="K86" s="411"/>
      <c r="L86" s="411"/>
      <c r="M86" s="411"/>
      <c r="N86" s="411"/>
      <c r="O86" s="411"/>
      <c r="P86" s="411"/>
      <c r="Q86" s="411"/>
      <c r="R86" s="411"/>
    </row>
    <row r="87" spans="1:18" s="411" customFormat="1" ht="15.75" x14ac:dyDescent="0.2">
      <c r="A87" s="418"/>
      <c r="B87" s="294"/>
      <c r="C87" s="294"/>
      <c r="D87" s="294"/>
      <c r="E87" s="295"/>
    </row>
    <row r="88" spans="1:18" s="411" customFormat="1" ht="15.75" x14ac:dyDescent="0.2">
      <c r="A88" s="418"/>
      <c r="B88" s="294"/>
      <c r="C88" s="294"/>
      <c r="D88" s="294"/>
      <c r="E88" s="294"/>
      <c r="J88" s="298"/>
      <c r="K88" s="298"/>
      <c r="L88" s="298"/>
      <c r="M88" s="298"/>
      <c r="N88" s="298"/>
      <c r="O88" s="294"/>
      <c r="P88" s="294"/>
      <c r="Q88" s="294"/>
      <c r="R88" s="294"/>
    </row>
    <row r="89" spans="1:18" x14ac:dyDescent="0.2">
      <c r="B89" s="294">
        <f>'С С Р'!B32</f>
        <v>0</v>
      </c>
    </row>
  </sheetData>
  <mergeCells count="52">
    <mergeCell ref="I11:P11"/>
    <mergeCell ref="B15:H15"/>
    <mergeCell ref="A54:H54"/>
    <mergeCell ref="A55:A58"/>
    <mergeCell ref="B55:B56"/>
    <mergeCell ref="A63:H63"/>
    <mergeCell ref="A62:H62"/>
    <mergeCell ref="J63:J71"/>
    <mergeCell ref="K63:K71"/>
    <mergeCell ref="J78:N78"/>
    <mergeCell ref="J74:N74"/>
    <mergeCell ref="J75:N75"/>
    <mergeCell ref="J76:N76"/>
    <mergeCell ref="J77:N77"/>
    <mergeCell ref="A6:H6"/>
    <mergeCell ref="A8:H8"/>
    <mergeCell ref="A11:H11"/>
    <mergeCell ref="A12:H12"/>
    <mergeCell ref="B14:C14"/>
    <mergeCell ref="A9:H9"/>
    <mergeCell ref="A10:H10"/>
    <mergeCell ref="B82:D82"/>
    <mergeCell ref="A70:H70"/>
    <mergeCell ref="B74:D74"/>
    <mergeCell ref="B64:C64"/>
    <mergeCell ref="A65:A67"/>
    <mergeCell ref="A69:H69"/>
    <mergeCell ref="B80:G80"/>
    <mergeCell ref="L60:N60"/>
    <mergeCell ref="P60:R60"/>
    <mergeCell ref="J61:J62"/>
    <mergeCell ref="K61:K62"/>
    <mergeCell ref="L61:L62"/>
    <mergeCell ref="M61:N61"/>
    <mergeCell ref="P61:P62"/>
    <mergeCell ref="Q61:R61"/>
    <mergeCell ref="J60:K60"/>
    <mergeCell ref="B60:D60"/>
    <mergeCell ref="B59:G59"/>
    <mergeCell ref="A61:H61"/>
    <mergeCell ref="A16:H16"/>
    <mergeCell ref="A17:A24"/>
    <mergeCell ref="A25:H25"/>
    <mergeCell ref="A27:A30"/>
    <mergeCell ref="A32:A35"/>
    <mergeCell ref="A36:H36"/>
    <mergeCell ref="A37:A40"/>
    <mergeCell ref="A41:H41"/>
    <mergeCell ref="A42:A45"/>
    <mergeCell ref="A46:H46"/>
    <mergeCell ref="A47:A50"/>
    <mergeCell ref="A51:A5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5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view="pageBreakPreview" zoomScale="70" zoomScaleNormal="150" zoomScaleSheetLayoutView="70" workbookViewId="0">
      <selection activeCell="D1" sqref="D1:D3"/>
    </sheetView>
  </sheetViews>
  <sheetFormatPr defaultColWidth="9.140625" defaultRowHeight="12.75" x14ac:dyDescent="0.2"/>
  <cols>
    <col min="1" max="1" width="4.85546875" style="182" customWidth="1"/>
    <col min="2" max="2" width="44" style="182" customWidth="1"/>
    <col min="3" max="3" width="22.7109375" style="182" customWidth="1"/>
    <col min="4" max="4" width="11" style="183" customWidth="1"/>
    <col min="5" max="5" width="11" style="182" customWidth="1"/>
    <col min="6" max="6" width="11" style="184" customWidth="1"/>
    <col min="7" max="7" width="18" style="182" customWidth="1"/>
    <col min="8" max="8" width="9.5703125" style="140" bestFit="1" customWidth="1"/>
    <col min="9" max="9" width="9.28515625" style="140" bestFit="1" customWidth="1"/>
    <col min="10" max="16384" width="9.140625" style="140"/>
  </cols>
  <sheetData>
    <row r="1" spans="1:20" s="127" customFormat="1" ht="18" customHeight="1" x14ac:dyDescent="0.2">
      <c r="D1" s="128"/>
      <c r="E1" s="128"/>
      <c r="F1" s="128"/>
      <c r="G1" s="128"/>
      <c r="J1" s="129"/>
      <c r="K1" s="129"/>
      <c r="N1" s="130"/>
      <c r="O1" s="130"/>
      <c r="P1" s="131"/>
      <c r="Q1" s="132"/>
      <c r="R1" s="133"/>
      <c r="S1" s="132"/>
      <c r="T1" s="131"/>
    </row>
    <row r="2" spans="1:20" s="137" customFormat="1" ht="18" customHeight="1" x14ac:dyDescent="0.2">
      <c r="A2" s="127"/>
      <c r="B2" s="127"/>
      <c r="C2" s="127"/>
      <c r="D2" s="11"/>
      <c r="E2" s="134"/>
      <c r="F2" s="135"/>
      <c r="G2" s="136"/>
      <c r="I2" s="138"/>
      <c r="J2" s="139"/>
      <c r="K2" s="139"/>
    </row>
    <row r="3" spans="1:20" s="127" customFormat="1" ht="18" customHeight="1" x14ac:dyDescent="0.2">
      <c r="D3" s="11"/>
      <c r="E3" s="134"/>
      <c r="F3" s="135"/>
      <c r="G3" s="136"/>
      <c r="I3" s="138"/>
      <c r="J3" s="139"/>
      <c r="K3" s="139"/>
      <c r="N3" s="130"/>
      <c r="O3" s="130"/>
      <c r="P3" s="131"/>
      <c r="Q3" s="132"/>
      <c r="R3" s="133"/>
      <c r="S3" s="132"/>
      <c r="T3" s="131"/>
    </row>
    <row r="5" spans="1:20" ht="14.25" x14ac:dyDescent="0.2">
      <c r="A5" s="727" t="s">
        <v>73</v>
      </c>
      <c r="B5" s="727"/>
      <c r="C5" s="727"/>
      <c r="D5" s="727"/>
      <c r="E5" s="727"/>
      <c r="F5" s="727"/>
      <c r="G5" s="727"/>
      <c r="H5" s="125"/>
    </row>
    <row r="6" spans="1:20" ht="14.25" x14ac:dyDescent="0.2">
      <c r="A6" s="253"/>
      <c r="B6" s="253"/>
      <c r="C6" s="253"/>
      <c r="D6" s="253"/>
      <c r="E6" s="253"/>
      <c r="F6" s="253"/>
      <c r="G6" s="253"/>
      <c r="H6" s="125"/>
    </row>
    <row r="7" spans="1:20" ht="87.75" customHeight="1" x14ac:dyDescent="0.2">
      <c r="A7" s="72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«Нежилое здание»,   расположенного  по    адресу: 
г. Москва, Мичуринский проспект, вл.9, корп.5.</v>
      </c>
      <c r="B7" s="729"/>
      <c r="C7" s="729"/>
      <c r="D7" s="729"/>
      <c r="E7" s="729"/>
      <c r="F7" s="729"/>
      <c r="G7" s="729"/>
      <c r="H7" s="141"/>
    </row>
    <row r="8" spans="1:20" x14ac:dyDescent="0.2">
      <c r="A8" s="142"/>
      <c r="B8" s="142"/>
      <c r="C8" s="143"/>
      <c r="D8" s="142"/>
      <c r="E8" s="142"/>
      <c r="F8" s="142"/>
      <c r="G8" s="142"/>
    </row>
    <row r="9" spans="1:20" ht="20.25" customHeight="1" x14ac:dyDescent="0.2">
      <c r="A9" s="732" t="s">
        <v>87</v>
      </c>
      <c r="B9" s="732"/>
      <c r="C9" s="732"/>
      <c r="D9" s="732"/>
      <c r="E9" s="732"/>
      <c r="F9" s="732"/>
      <c r="G9" s="732"/>
    </row>
    <row r="10" spans="1:20" ht="33.75" customHeight="1" x14ac:dyDescent="0.2">
      <c r="A10" s="730" t="s">
        <v>83</v>
      </c>
      <c r="B10" s="730"/>
      <c r="C10" s="730"/>
      <c r="D10" s="730"/>
      <c r="E10" s="730"/>
      <c r="F10" s="730"/>
      <c r="G10" s="730"/>
    </row>
    <row r="11" spans="1:20" ht="10.5" customHeight="1" x14ac:dyDescent="0.2">
      <c r="A11" s="254"/>
      <c r="B11" s="254"/>
      <c r="C11" s="254"/>
      <c r="D11" s="254"/>
      <c r="E11" s="254"/>
      <c r="F11" s="254"/>
      <c r="G11" s="254"/>
    </row>
    <row r="12" spans="1:20" ht="76.5" x14ac:dyDescent="0.2">
      <c r="A12" s="144" t="s">
        <v>22</v>
      </c>
      <c r="B12" s="255" t="s">
        <v>23</v>
      </c>
      <c r="C12" s="255" t="s">
        <v>85</v>
      </c>
      <c r="D12" s="145" t="s">
        <v>84</v>
      </c>
      <c r="E12" s="255" t="s">
        <v>24</v>
      </c>
      <c r="F12" s="255" t="s">
        <v>25</v>
      </c>
      <c r="G12" s="255" t="s">
        <v>26</v>
      </c>
    </row>
    <row r="13" spans="1:20" x14ac:dyDescent="0.2">
      <c r="A13" s="731" t="s">
        <v>27</v>
      </c>
      <c r="B13" s="731"/>
      <c r="C13" s="731"/>
      <c r="D13" s="731"/>
      <c r="E13" s="731"/>
      <c r="F13" s="731"/>
      <c r="G13" s="731"/>
    </row>
    <row r="14" spans="1:20" x14ac:dyDescent="0.2">
      <c r="A14" s="146"/>
      <c r="B14" s="146" t="s">
        <v>28</v>
      </c>
      <c r="C14" s="146"/>
      <c r="D14" s="147"/>
      <c r="E14" s="146" t="s">
        <v>29</v>
      </c>
      <c r="F14" s="148">
        <f>Т.с.!C71</f>
        <v>73</v>
      </c>
      <c r="G14" s="146"/>
      <c r="H14" s="562"/>
    </row>
    <row r="15" spans="1:20" ht="25.5" x14ac:dyDescent="0.2">
      <c r="A15" s="146"/>
      <c r="B15" s="149" t="s">
        <v>30</v>
      </c>
      <c r="C15" s="146"/>
      <c r="D15" s="147"/>
      <c r="E15" s="146"/>
      <c r="F15" s="150"/>
      <c r="G15" s="146"/>
    </row>
    <row r="16" spans="1:20" x14ac:dyDescent="0.2">
      <c r="A16" s="146"/>
      <c r="B16" s="146" t="s">
        <v>31</v>
      </c>
      <c r="C16" s="146" t="s">
        <v>32</v>
      </c>
      <c r="D16" s="147">
        <v>522</v>
      </c>
      <c r="E16" s="146"/>
      <c r="F16" s="270">
        <f>F14</f>
        <v>73</v>
      </c>
      <c r="G16" s="151">
        <f>D16*F16</f>
        <v>38106</v>
      </c>
    </row>
    <row r="17" spans="1:8" ht="25.5" x14ac:dyDescent="0.2">
      <c r="A17" s="146"/>
      <c r="B17" s="149" t="s">
        <v>33</v>
      </c>
      <c r="C17" s="146" t="s">
        <v>34</v>
      </c>
      <c r="D17" s="147">
        <v>1.1499999999999999</v>
      </c>
      <c r="E17" s="146"/>
      <c r="F17" s="150"/>
      <c r="G17" s="152">
        <f>G16*1.15</f>
        <v>43821.899999999994</v>
      </c>
      <c r="H17" s="141"/>
    </row>
    <row r="18" spans="1:8" x14ac:dyDescent="0.2">
      <c r="A18" s="146"/>
      <c r="B18" s="153" t="s">
        <v>35</v>
      </c>
      <c r="C18" s="146"/>
      <c r="D18" s="147"/>
      <c r="E18" s="146"/>
      <c r="F18" s="150"/>
      <c r="G18" s="154">
        <f>G17</f>
        <v>43821.899999999994</v>
      </c>
    </row>
    <row r="19" spans="1:8" ht="51" hidden="1" x14ac:dyDescent="0.2">
      <c r="A19" s="146"/>
      <c r="B19" s="153" t="s">
        <v>36</v>
      </c>
      <c r="C19" s="155" t="s">
        <v>76</v>
      </c>
      <c r="D19" s="156">
        <v>3.76</v>
      </c>
      <c r="E19" s="146"/>
      <c r="F19" s="150"/>
      <c r="G19" s="154">
        <f>G18*D19</f>
        <v>164770.34399999998</v>
      </c>
    </row>
    <row r="20" spans="1:8" x14ac:dyDescent="0.2">
      <c r="A20" s="731" t="s">
        <v>37</v>
      </c>
      <c r="B20" s="731"/>
      <c r="C20" s="731"/>
      <c r="D20" s="731"/>
      <c r="E20" s="731"/>
      <c r="F20" s="731"/>
      <c r="G20" s="731"/>
    </row>
    <row r="21" spans="1:8" x14ac:dyDescent="0.2">
      <c r="A21" s="146"/>
      <c r="B21" s="146" t="s">
        <v>28</v>
      </c>
      <c r="C21" s="146"/>
      <c r="D21" s="147"/>
      <c r="E21" s="146" t="s">
        <v>29</v>
      </c>
      <c r="F21" s="148">
        <f>F14</f>
        <v>73</v>
      </c>
      <c r="G21" s="146"/>
      <c r="H21" s="141"/>
    </row>
    <row r="22" spans="1:8" ht="25.5" x14ac:dyDescent="0.2">
      <c r="A22" s="146"/>
      <c r="B22" s="149" t="s">
        <v>30</v>
      </c>
      <c r="C22" s="146"/>
      <c r="D22" s="147"/>
      <c r="E22" s="146"/>
      <c r="F22" s="150"/>
      <c r="G22" s="146"/>
    </row>
    <row r="23" spans="1:8" x14ac:dyDescent="0.2">
      <c r="A23" s="146"/>
      <c r="B23" s="146" t="s">
        <v>31</v>
      </c>
      <c r="C23" s="146" t="s">
        <v>32</v>
      </c>
      <c r="D23" s="147">
        <v>296</v>
      </c>
      <c r="E23" s="146"/>
      <c r="F23" s="270">
        <f>F21</f>
        <v>73</v>
      </c>
      <c r="G23" s="151">
        <f>D23*F23</f>
        <v>21608</v>
      </c>
    </row>
    <row r="24" spans="1:8" ht="25.5" x14ac:dyDescent="0.2">
      <c r="A24" s="146"/>
      <c r="B24" s="149" t="s">
        <v>33</v>
      </c>
      <c r="C24" s="146" t="s">
        <v>34</v>
      </c>
      <c r="D24" s="147">
        <v>1.1499999999999999</v>
      </c>
      <c r="E24" s="146"/>
      <c r="F24" s="150"/>
      <c r="G24" s="152">
        <f>G23*D24</f>
        <v>24849.199999999997</v>
      </c>
      <c r="H24" s="141"/>
    </row>
    <row r="25" spans="1:8" x14ac:dyDescent="0.2">
      <c r="A25" s="146"/>
      <c r="B25" s="153" t="s">
        <v>38</v>
      </c>
      <c r="C25" s="146"/>
      <c r="D25" s="147"/>
      <c r="E25" s="146"/>
      <c r="F25" s="150"/>
      <c r="G25" s="154">
        <f>G24</f>
        <v>24849.199999999997</v>
      </c>
    </row>
    <row r="26" spans="1:8" ht="51" hidden="1" x14ac:dyDescent="0.2">
      <c r="A26" s="146"/>
      <c r="B26" s="153" t="s">
        <v>39</v>
      </c>
      <c r="C26" s="155" t="s">
        <v>76</v>
      </c>
      <c r="D26" s="156">
        <v>3.76</v>
      </c>
      <c r="E26" s="146"/>
      <c r="F26" s="150"/>
      <c r="G26" s="154">
        <f>G25*D26</f>
        <v>93432.991999999984</v>
      </c>
    </row>
    <row r="27" spans="1:8" x14ac:dyDescent="0.2">
      <c r="A27" s="146"/>
      <c r="B27" s="153"/>
      <c r="C27" s="155"/>
      <c r="D27" s="156"/>
      <c r="E27" s="146"/>
      <c r="F27" s="150"/>
      <c r="G27" s="154"/>
    </row>
    <row r="28" spans="1:8" x14ac:dyDescent="0.2">
      <c r="A28" s="731" t="s">
        <v>183</v>
      </c>
      <c r="B28" s="731"/>
      <c r="C28" s="731"/>
      <c r="D28" s="731"/>
      <c r="E28" s="731"/>
      <c r="F28" s="731"/>
      <c r="G28" s="731"/>
    </row>
    <row r="29" spans="1:8" x14ac:dyDescent="0.2">
      <c r="A29" s="146"/>
      <c r="B29" s="146" t="s">
        <v>28</v>
      </c>
      <c r="C29" s="146"/>
      <c r="D29" s="147"/>
      <c r="E29" s="146" t="s">
        <v>29</v>
      </c>
      <c r="F29" s="270">
        <f>F14</f>
        <v>73</v>
      </c>
      <c r="G29" s="146"/>
    </row>
    <row r="30" spans="1:8" ht="25.5" x14ac:dyDescent="0.2">
      <c r="A30" s="146"/>
      <c r="B30" s="149" t="s">
        <v>30</v>
      </c>
      <c r="C30" s="146"/>
      <c r="D30" s="147"/>
      <c r="E30" s="146"/>
      <c r="F30" s="150"/>
      <c r="G30" s="146"/>
    </row>
    <row r="31" spans="1:8" x14ac:dyDescent="0.2">
      <c r="A31" s="146"/>
      <c r="B31" s="146" t="s">
        <v>31</v>
      </c>
      <c r="C31" s="146" t="s">
        <v>32</v>
      </c>
      <c r="D31" s="147">
        <v>178</v>
      </c>
      <c r="E31" s="146"/>
      <c r="F31" s="270">
        <f>F29</f>
        <v>73</v>
      </c>
      <c r="G31" s="151">
        <f>ROUND(D31*F31,2)</f>
        <v>12994</v>
      </c>
    </row>
    <row r="32" spans="1:8" ht="25.5" x14ac:dyDescent="0.2">
      <c r="A32" s="146"/>
      <c r="B32" s="149" t="s">
        <v>33</v>
      </c>
      <c r="C32" s="146" t="s">
        <v>34</v>
      </c>
      <c r="D32" s="147">
        <v>1.1499999999999999</v>
      </c>
      <c r="E32" s="146"/>
      <c r="F32" s="150"/>
      <c r="G32" s="154">
        <f>ROUND(G31*1.15,2)</f>
        <v>14943.1</v>
      </c>
    </row>
    <row r="33" spans="1:11" x14ac:dyDescent="0.2">
      <c r="A33" s="146"/>
      <c r="B33" s="153" t="s">
        <v>184</v>
      </c>
      <c r="C33" s="146"/>
      <c r="D33" s="147"/>
      <c r="E33" s="146"/>
      <c r="F33" s="150"/>
      <c r="G33" s="154">
        <f>G32</f>
        <v>14943.1</v>
      </c>
    </row>
    <row r="34" spans="1:11" x14ac:dyDescent="0.2">
      <c r="A34" s="146"/>
      <c r="B34" s="153"/>
      <c r="C34" s="146"/>
      <c r="D34" s="147"/>
      <c r="E34" s="146"/>
      <c r="F34" s="150"/>
      <c r="G34" s="154"/>
    </row>
    <row r="35" spans="1:11" x14ac:dyDescent="0.2">
      <c r="A35" s="146"/>
      <c r="B35" s="153" t="s">
        <v>40</v>
      </c>
      <c r="C35" s="146"/>
      <c r="D35" s="147"/>
      <c r="E35" s="146"/>
      <c r="F35" s="150"/>
      <c r="G35" s="154">
        <f>G18+G25+G33</f>
        <v>83614.2</v>
      </c>
    </row>
    <row r="36" spans="1:11" ht="27" hidden="1" customHeight="1" x14ac:dyDescent="0.2">
      <c r="A36" s="157"/>
      <c r="B36" s="158" t="s">
        <v>1</v>
      </c>
      <c r="C36" s="158"/>
      <c r="D36" s="159">
        <v>0.18</v>
      </c>
      <c r="E36" s="157"/>
      <c r="F36" s="160"/>
      <c r="G36" s="161">
        <f>G35*D36</f>
        <v>15050.555999999999</v>
      </c>
    </row>
    <row r="37" spans="1:11" ht="27" hidden="1" customHeight="1" x14ac:dyDescent="0.2">
      <c r="A37" s="146"/>
      <c r="B37" s="153" t="s">
        <v>41</v>
      </c>
      <c r="C37" s="149"/>
      <c r="D37" s="147"/>
      <c r="E37" s="146"/>
      <c r="F37" s="150"/>
      <c r="G37" s="154">
        <f>G35+G36</f>
        <v>98664.755999999994</v>
      </c>
    </row>
    <row r="39" spans="1:11" s="76" customFormat="1" hidden="1" x14ac:dyDescent="0.2">
      <c r="B39" s="162" t="s">
        <v>42</v>
      </c>
      <c r="C39" s="163"/>
      <c r="D39" s="76" t="s">
        <v>43</v>
      </c>
      <c r="F39" s="126"/>
      <c r="G39" s="79"/>
      <c r="H39" s="101"/>
      <c r="J39" s="122"/>
      <c r="K39" s="122"/>
    </row>
    <row r="40" spans="1:11" s="5" customFormat="1" x14ac:dyDescent="0.2">
      <c r="D40" s="7"/>
      <c r="F40" s="8"/>
      <c r="H40" s="18"/>
      <c r="I40" s="10"/>
    </row>
    <row r="41" spans="1:11" s="5" customFormat="1" x14ac:dyDescent="0.2">
      <c r="B41" s="5">
        <f>Т.с.!B86</f>
        <v>0</v>
      </c>
      <c r="D41" s="7"/>
      <c r="F41" s="8"/>
      <c r="H41" s="18"/>
      <c r="I41" s="10"/>
    </row>
    <row r="42" spans="1:11" s="5" customFormat="1" x14ac:dyDescent="0.2">
      <c r="D42" s="7"/>
      <c r="F42" s="8"/>
      <c r="H42" s="18"/>
      <c r="I42" s="10"/>
    </row>
    <row r="43" spans="1:11" s="5" customFormat="1" x14ac:dyDescent="0.2">
      <c r="D43" s="7"/>
      <c r="F43" s="8"/>
      <c r="H43" s="18"/>
      <c r="I43" s="10"/>
    </row>
    <row r="44" spans="1:11" s="5" customFormat="1" x14ac:dyDescent="0.2">
      <c r="B44" s="5">
        <f>Т.с.!B89</f>
        <v>0</v>
      </c>
      <c r="D44" s="7"/>
      <c r="F44" s="8"/>
      <c r="H44" s="18"/>
      <c r="I44" s="10"/>
    </row>
    <row r="45" spans="1:11" s="5" customFormat="1" x14ac:dyDescent="0.2">
      <c r="D45" s="7"/>
      <c r="F45" s="8"/>
      <c r="H45" s="18"/>
      <c r="I45" s="10"/>
    </row>
    <row r="46" spans="1:11" s="5" customFormat="1" x14ac:dyDescent="0.2">
      <c r="D46" s="7"/>
      <c r="F46" s="8"/>
      <c r="H46" s="18"/>
      <c r="I46" s="10"/>
    </row>
    <row r="47" spans="1:11" s="76" customFormat="1" hidden="1" x14ac:dyDescent="0.2">
      <c r="B47" s="164" t="s">
        <v>44</v>
      </c>
      <c r="C47" s="165"/>
      <c r="D47" s="166"/>
      <c r="E47" s="167" t="s">
        <v>45</v>
      </c>
      <c r="F47" s="168"/>
      <c r="G47" s="169"/>
      <c r="H47" s="168"/>
      <c r="I47" s="170"/>
      <c r="J47" s="171"/>
      <c r="K47" s="172"/>
    </row>
    <row r="48" spans="1:11" s="76" customFormat="1" hidden="1" x14ac:dyDescent="0.2">
      <c r="B48" s="164" t="s">
        <v>46</v>
      </c>
      <c r="C48" s="165"/>
      <c r="D48" s="166"/>
      <c r="E48" s="167" t="s">
        <v>20</v>
      </c>
      <c r="F48" s="168"/>
      <c r="G48" s="169"/>
      <c r="H48" s="168"/>
      <c r="I48" s="170"/>
      <c r="J48" s="171"/>
      <c r="K48" s="172"/>
    </row>
    <row r="49" spans="2:11" s="76" customFormat="1" hidden="1" x14ac:dyDescent="0.2">
      <c r="B49" s="164" t="s">
        <v>19</v>
      </c>
      <c r="C49" s="173"/>
      <c r="D49" s="174"/>
      <c r="E49" s="167"/>
      <c r="F49" s="168"/>
      <c r="G49" s="169"/>
      <c r="H49" s="168"/>
      <c r="I49" s="170"/>
      <c r="J49" s="171"/>
      <c r="K49" s="172"/>
    </row>
    <row r="50" spans="2:11" s="76" customFormat="1" hidden="1" x14ac:dyDescent="0.2">
      <c r="B50" s="175"/>
      <c r="C50" s="173"/>
      <c r="D50" s="174"/>
      <c r="E50" s="167"/>
      <c r="F50" s="168"/>
      <c r="G50" s="169"/>
      <c r="H50" s="168"/>
      <c r="I50" s="170"/>
      <c r="J50" s="171"/>
      <c r="K50" s="172"/>
    </row>
    <row r="51" spans="2:11" s="76" customFormat="1" hidden="1" x14ac:dyDescent="0.2">
      <c r="B51" s="175"/>
      <c r="C51" s="173"/>
      <c r="D51" s="174"/>
      <c r="E51" s="176"/>
      <c r="F51" s="168"/>
      <c r="G51" s="169"/>
      <c r="H51" s="168"/>
      <c r="I51" s="170"/>
      <c r="J51" s="171"/>
      <c r="K51" s="172"/>
    </row>
    <row r="52" spans="2:11" s="76" customFormat="1" hidden="1" x14ac:dyDescent="0.2">
      <c r="B52" s="171" t="s">
        <v>47</v>
      </c>
      <c r="C52" s="177"/>
      <c r="D52" s="166"/>
      <c r="E52" s="178"/>
      <c r="F52" s="179"/>
      <c r="G52" s="180" t="s">
        <v>21</v>
      </c>
      <c r="H52" s="180"/>
      <c r="I52" s="181"/>
      <c r="J52" s="171"/>
      <c r="K52" s="172"/>
    </row>
    <row r="53" spans="2:11" s="76" customFormat="1" hidden="1" x14ac:dyDescent="0.2">
      <c r="B53" s="98" t="s">
        <v>29</v>
      </c>
      <c r="D53" s="166"/>
      <c r="E53" s="98" t="s">
        <v>29</v>
      </c>
      <c r="F53" s="77"/>
      <c r="H53" s="77"/>
      <c r="I53" s="725"/>
      <c r="J53" s="726"/>
      <c r="K53" s="726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view="pageBreakPreview" zoomScaleNormal="100" zoomScaleSheetLayoutView="100" workbookViewId="0">
      <selection activeCell="F1" sqref="F1:H3"/>
    </sheetView>
  </sheetViews>
  <sheetFormatPr defaultColWidth="9.140625" defaultRowHeight="12.75" x14ac:dyDescent="0.2"/>
  <cols>
    <col min="1" max="1" width="9.28515625" style="291" bestFit="1" customWidth="1"/>
    <col min="2" max="2" width="34" style="291" customWidth="1"/>
    <col min="3" max="4" width="12.140625" style="291" customWidth="1"/>
    <col min="5" max="5" width="22.140625" style="291" customWidth="1"/>
    <col min="6" max="6" width="9.28515625" style="291" bestFit="1" customWidth="1"/>
    <col min="7" max="7" width="18.85546875" style="291" customWidth="1"/>
    <col min="8" max="8" width="12.85546875" style="291" customWidth="1"/>
    <col min="9" max="9" width="16.5703125" style="291" customWidth="1"/>
    <col min="10" max="10" width="15.85546875" style="291" customWidth="1"/>
    <col min="11" max="11" width="9.7109375" style="291" bestFit="1" customWidth="1"/>
    <col min="12" max="12" width="6.28515625" style="291" bestFit="1" customWidth="1"/>
    <col min="13" max="13" width="8" style="291" bestFit="1" customWidth="1"/>
    <col min="14" max="16" width="9.140625" style="291"/>
    <col min="17" max="18" width="9.28515625" style="291" bestFit="1" customWidth="1"/>
    <col min="19" max="19" width="9.140625" style="291"/>
    <col min="20" max="20" width="9.28515625" style="291" bestFit="1" customWidth="1"/>
    <col min="21" max="16384" width="9.140625" style="291"/>
  </cols>
  <sheetData>
    <row r="1" spans="1:14" x14ac:dyDescent="0.2">
      <c r="A1" s="331"/>
      <c r="B1" s="331"/>
      <c r="C1" s="331"/>
      <c r="D1" s="331"/>
      <c r="E1" s="331"/>
      <c r="F1" s="746"/>
      <c r="G1" s="746"/>
      <c r="H1" s="746"/>
      <c r="I1" s="602"/>
    </row>
    <row r="2" spans="1:14" x14ac:dyDescent="0.2">
      <c r="A2" s="65"/>
      <c r="B2" s="65"/>
      <c r="C2" s="65"/>
      <c r="D2" s="332"/>
      <c r="E2" s="65"/>
      <c r="F2" s="746"/>
      <c r="G2" s="746"/>
      <c r="H2" s="746"/>
      <c r="I2" s="602"/>
    </row>
    <row r="3" spans="1:14" x14ac:dyDescent="0.2">
      <c r="A3" s="65"/>
      <c r="B3" s="65"/>
      <c r="C3" s="65"/>
      <c r="D3" s="332"/>
      <c r="E3" s="65"/>
      <c r="F3" s="602"/>
      <c r="G3" s="333"/>
      <c r="H3" s="334"/>
      <c r="I3" s="334"/>
    </row>
    <row r="4" spans="1:14" x14ac:dyDescent="0.2">
      <c r="A4" s="65"/>
      <c r="B4" s="65"/>
      <c r="C4" s="65"/>
      <c r="D4" s="332"/>
      <c r="E4" s="65"/>
      <c r="F4" s="602"/>
      <c r="G4" s="333"/>
      <c r="H4" s="334"/>
      <c r="I4" s="334"/>
    </row>
    <row r="5" spans="1:14" ht="14.25" x14ac:dyDescent="0.2">
      <c r="A5" s="747" t="s">
        <v>94</v>
      </c>
      <c r="B5" s="747"/>
      <c r="C5" s="747"/>
      <c r="D5" s="747"/>
      <c r="E5" s="747"/>
      <c r="F5" s="747"/>
      <c r="G5" s="747"/>
      <c r="H5" s="747"/>
      <c r="I5" s="603"/>
    </row>
    <row r="6" spans="1:14" ht="14.25" x14ac:dyDescent="0.2">
      <c r="A6" s="603"/>
      <c r="B6" s="603"/>
      <c r="C6" s="603"/>
      <c r="D6" s="603"/>
      <c r="E6" s="603"/>
      <c r="F6" s="603"/>
      <c r="G6" s="603"/>
      <c r="H6" s="603"/>
      <c r="I6" s="603"/>
    </row>
    <row r="7" spans="1:14" ht="14.25" customHeight="1" x14ac:dyDescent="0.2">
      <c r="A7" s="748" t="s">
        <v>95</v>
      </c>
      <c r="B7" s="748"/>
      <c r="C7" s="748"/>
      <c r="D7" s="748"/>
      <c r="E7" s="748"/>
      <c r="F7" s="748"/>
      <c r="G7" s="748"/>
      <c r="H7" s="748"/>
      <c r="I7" s="604"/>
    </row>
    <row r="8" spans="1:14" x14ac:dyDescent="0.2">
      <c r="A8" s="335"/>
      <c r="B8" s="335"/>
      <c r="C8" s="335"/>
      <c r="D8" s="335"/>
      <c r="E8" s="335"/>
      <c r="F8" s="335"/>
      <c r="G8" s="335"/>
      <c r="H8" s="335"/>
      <c r="I8" s="335"/>
    </row>
    <row r="9" spans="1:14" ht="63" customHeight="1" x14ac:dyDescent="0.2">
      <c r="A9" s="749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«Нежилое здание»,   расположенного  по    адресу: 
г. Москва, Мичуринский проспект, вл.9, корп.5.</v>
      </c>
      <c r="B9" s="749"/>
      <c r="C9" s="749"/>
      <c r="D9" s="749"/>
      <c r="E9" s="749"/>
      <c r="F9" s="749"/>
      <c r="G9" s="749"/>
      <c r="H9" s="749"/>
      <c r="I9" s="623"/>
      <c r="J9" s="624"/>
      <c r="K9" s="624"/>
      <c r="L9" s="624"/>
      <c r="M9" s="624"/>
      <c r="N9" s="624"/>
    </row>
    <row r="10" spans="1:14" x14ac:dyDescent="0.2">
      <c r="A10" s="333"/>
      <c r="B10" s="64"/>
      <c r="C10" s="64"/>
      <c r="D10" s="336"/>
      <c r="E10" s="64"/>
      <c r="F10" s="337"/>
      <c r="G10" s="64"/>
      <c r="H10" s="336"/>
      <c r="I10" s="625"/>
      <c r="J10" s="624"/>
      <c r="K10" s="624"/>
      <c r="L10" s="624"/>
      <c r="M10" s="624"/>
      <c r="N10" s="624"/>
    </row>
    <row r="11" spans="1:14" ht="39.75" customHeight="1" thickBot="1" x14ac:dyDescent="0.25">
      <c r="A11" s="741" t="s">
        <v>312</v>
      </c>
      <c r="B11" s="742"/>
      <c r="C11" s="742"/>
      <c r="D11" s="742"/>
      <c r="E11" s="742"/>
      <c r="F11" s="742"/>
      <c r="G11" s="742"/>
      <c r="H11" s="743"/>
      <c r="I11" s="626"/>
      <c r="J11" s="624"/>
      <c r="K11" s="624"/>
      <c r="L11" s="624"/>
      <c r="M11" s="624"/>
      <c r="N11" s="624"/>
    </row>
    <row r="12" spans="1:14" ht="26.25" thickBot="1" x14ac:dyDescent="0.25">
      <c r="A12" s="186" t="s">
        <v>48</v>
      </c>
      <c r="B12" s="744" t="s">
        <v>49</v>
      </c>
      <c r="C12" s="745"/>
      <c r="D12" s="187" t="s">
        <v>50</v>
      </c>
      <c r="E12" s="187" t="s">
        <v>311</v>
      </c>
      <c r="F12" s="188" t="s">
        <v>51</v>
      </c>
      <c r="G12" s="187" t="s">
        <v>0</v>
      </c>
      <c r="H12" s="189" t="s">
        <v>52</v>
      </c>
      <c r="I12" s="627"/>
      <c r="J12" s="569"/>
      <c r="K12" s="569"/>
      <c r="L12" s="569" t="s">
        <v>299</v>
      </c>
      <c r="M12" s="569" t="s">
        <v>299</v>
      </c>
      <c r="N12" s="624"/>
    </row>
    <row r="13" spans="1:14" ht="13.5" thickBot="1" x14ac:dyDescent="0.25">
      <c r="A13" s="338">
        <v>1</v>
      </c>
      <c r="B13" s="339">
        <v>2</v>
      </c>
      <c r="C13" s="339">
        <v>3</v>
      </c>
      <c r="D13" s="340">
        <v>4</v>
      </c>
      <c r="E13" s="339">
        <v>5</v>
      </c>
      <c r="F13" s="340">
        <v>6</v>
      </c>
      <c r="G13" s="339">
        <v>7</v>
      </c>
      <c r="H13" s="341">
        <v>8</v>
      </c>
      <c r="I13" s="624"/>
      <c r="J13" s="343" t="s">
        <v>109</v>
      </c>
      <c r="K13" s="343" t="s">
        <v>110</v>
      </c>
      <c r="L13" s="570" t="s">
        <v>109</v>
      </c>
      <c r="M13" s="343" t="s">
        <v>110</v>
      </c>
      <c r="N13" s="624"/>
    </row>
    <row r="14" spans="1:14" ht="38.25" x14ac:dyDescent="0.2">
      <c r="A14" s="89">
        <v>1</v>
      </c>
      <c r="B14" s="201" t="s">
        <v>96</v>
      </c>
      <c r="C14" s="401" t="s">
        <v>109</v>
      </c>
      <c r="D14" s="202">
        <v>820</v>
      </c>
      <c r="E14" s="196" t="s">
        <v>342</v>
      </c>
      <c r="F14" s="203">
        <v>1</v>
      </c>
      <c r="G14" s="203" t="str">
        <f>CONCATENATE(D14,"*",F14)</f>
        <v>820*1</v>
      </c>
      <c r="H14" s="190">
        <f>ROUND(D14*F14,2)</f>
        <v>820</v>
      </c>
      <c r="I14" s="628"/>
      <c r="J14" s="192">
        <v>820</v>
      </c>
      <c r="K14" s="192">
        <v>482</v>
      </c>
      <c r="L14" s="569">
        <v>1229</v>
      </c>
      <c r="M14" s="569">
        <v>723</v>
      </c>
      <c r="N14" s="624"/>
    </row>
    <row r="15" spans="1:14" ht="38.25" x14ac:dyDescent="0.2">
      <c r="A15" s="89">
        <v>2</v>
      </c>
      <c r="B15" s="201" t="s">
        <v>97</v>
      </c>
      <c r="C15" s="401" t="s">
        <v>109</v>
      </c>
      <c r="D15" s="202">
        <v>1326</v>
      </c>
      <c r="E15" s="196" t="s">
        <v>343</v>
      </c>
      <c r="F15" s="203">
        <v>1</v>
      </c>
      <c r="G15" s="203" t="str">
        <f>CONCATENATE(D15,"*",F15)</f>
        <v>1326*1</v>
      </c>
      <c r="H15" s="190">
        <f>ROUND(D15*F15,2)</f>
        <v>1326</v>
      </c>
      <c r="I15" s="628"/>
      <c r="J15" s="192">
        <v>1326</v>
      </c>
      <c r="K15" s="192">
        <v>780</v>
      </c>
      <c r="L15" s="569">
        <v>1724</v>
      </c>
      <c r="M15" s="569">
        <v>1013</v>
      </c>
      <c r="N15" s="624"/>
    </row>
    <row r="16" spans="1:14" x14ac:dyDescent="0.2">
      <c r="A16" s="89"/>
      <c r="B16" s="344" t="s">
        <v>98</v>
      </c>
      <c r="C16" s="196"/>
      <c r="D16" s="191"/>
      <c r="E16" s="196"/>
      <c r="F16" s="345"/>
      <c r="G16" s="346"/>
      <c r="H16" s="88">
        <f>SUM(H14:H15)</f>
        <v>2146</v>
      </c>
      <c r="I16" s="342"/>
      <c r="J16" s="192"/>
      <c r="K16" s="192"/>
      <c r="L16" s="569"/>
      <c r="M16" s="569"/>
      <c r="N16" s="624"/>
    </row>
    <row r="17" spans="1:14" ht="25.5" x14ac:dyDescent="0.2">
      <c r="A17" s="89">
        <v>3</v>
      </c>
      <c r="B17" s="201" t="s">
        <v>53</v>
      </c>
      <c r="C17" s="401" t="s">
        <v>109</v>
      </c>
      <c r="D17" s="202">
        <v>484</v>
      </c>
      <c r="E17" s="196" t="s">
        <v>300</v>
      </c>
      <c r="F17" s="203">
        <v>1</v>
      </c>
      <c r="G17" s="203" t="str">
        <f>CONCATENATE(D17,"*",F17)</f>
        <v>484*1</v>
      </c>
      <c r="H17" s="190">
        <f>ROUND(D17*F17,2)</f>
        <v>484</v>
      </c>
      <c r="I17" s="342"/>
      <c r="J17" s="192">
        <v>484</v>
      </c>
      <c r="K17" s="192">
        <v>484</v>
      </c>
      <c r="L17" s="569">
        <v>1211</v>
      </c>
      <c r="M17" s="569">
        <v>968</v>
      </c>
      <c r="N17" s="624"/>
    </row>
    <row r="18" spans="1:14" ht="51" x14ac:dyDescent="0.2">
      <c r="A18" s="89">
        <v>4</v>
      </c>
      <c r="B18" s="193" t="s">
        <v>54</v>
      </c>
      <c r="C18" s="194"/>
      <c r="D18" s="195">
        <v>1214</v>
      </c>
      <c r="E18" s="196" t="s">
        <v>191</v>
      </c>
      <c r="F18" s="195">
        <v>1</v>
      </c>
      <c r="G18" s="203" t="str">
        <f>CONCATENATE(D18,"*",F18)</f>
        <v>1214*1</v>
      </c>
      <c r="H18" s="190">
        <f>ROUND(D18*F18,2)</f>
        <v>1214</v>
      </c>
      <c r="I18" s="347"/>
      <c r="J18" s="570"/>
      <c r="K18" s="570"/>
      <c r="L18" s="569"/>
      <c r="M18" s="569"/>
      <c r="N18" s="624"/>
    </row>
    <row r="19" spans="1:14" x14ac:dyDescent="0.2">
      <c r="A19" s="89">
        <v>5</v>
      </c>
      <c r="B19" s="193" t="s">
        <v>55</v>
      </c>
      <c r="C19" s="194"/>
      <c r="D19" s="195">
        <v>318</v>
      </c>
      <c r="E19" s="196" t="s">
        <v>192</v>
      </c>
      <c r="F19" s="195">
        <v>1</v>
      </c>
      <c r="G19" s="203" t="str">
        <f>CONCATENATE(D19,"*",F19)</f>
        <v>318*1</v>
      </c>
      <c r="H19" s="190">
        <f>ROUND(D19*F19,2)</f>
        <v>318</v>
      </c>
      <c r="I19" s="347"/>
      <c r="J19" s="570"/>
      <c r="K19" s="570"/>
      <c r="L19" s="569"/>
      <c r="M19" s="569"/>
      <c r="N19" s="624"/>
    </row>
    <row r="20" spans="1:14" ht="25.5" x14ac:dyDescent="0.2">
      <c r="A20" s="89">
        <v>6</v>
      </c>
      <c r="B20" s="193" t="s">
        <v>56</v>
      </c>
      <c r="C20" s="194"/>
      <c r="D20" s="195">
        <v>318</v>
      </c>
      <c r="E20" s="196" t="s">
        <v>193</v>
      </c>
      <c r="F20" s="195">
        <v>1</v>
      </c>
      <c r="G20" s="203" t="str">
        <f>CONCATENATE(D20,"*",F20)</f>
        <v>318*1</v>
      </c>
      <c r="H20" s="190">
        <f>ROUND(D20*F20,2)</f>
        <v>318</v>
      </c>
      <c r="I20" s="347"/>
      <c r="J20" s="570"/>
      <c r="K20" s="570"/>
      <c r="L20" s="569"/>
      <c r="M20" s="569"/>
      <c r="N20" s="624"/>
    </row>
    <row r="21" spans="1:14" ht="63.75" x14ac:dyDescent="0.2">
      <c r="A21" s="605">
        <v>7</v>
      </c>
      <c r="B21" s="348" t="s">
        <v>194</v>
      </c>
      <c r="C21" s="198" t="s">
        <v>57</v>
      </c>
      <c r="D21" s="199">
        <v>122</v>
      </c>
      <c r="E21" s="607" t="s">
        <v>195</v>
      </c>
      <c r="F21" s="571">
        <f>Т.с.!C73</f>
        <v>7.2999999999999995E-2</v>
      </c>
      <c r="G21" s="202">
        <f>D21</f>
        <v>122</v>
      </c>
      <c r="H21" s="1">
        <f>G21</f>
        <v>122</v>
      </c>
      <c r="I21" s="572" t="s">
        <v>111</v>
      </c>
      <c r="J21" s="573" t="s">
        <v>109</v>
      </c>
      <c r="K21" s="573" t="s">
        <v>110</v>
      </c>
      <c r="L21" s="569"/>
      <c r="M21" s="569"/>
      <c r="N21" s="624"/>
    </row>
    <row r="22" spans="1:14" ht="25.5" x14ac:dyDescent="0.2">
      <c r="A22" s="605">
        <v>8</v>
      </c>
      <c r="B22" s="197" t="s">
        <v>99</v>
      </c>
      <c r="C22" s="401" t="s">
        <v>109</v>
      </c>
      <c r="D22" s="199">
        <v>1241</v>
      </c>
      <c r="E22" s="607" t="s">
        <v>344</v>
      </c>
      <c r="F22" s="200">
        <v>1</v>
      </c>
      <c r="G22" s="203" t="str">
        <f>CONCATENATE(D22,"*",F22)</f>
        <v>1241*1</v>
      </c>
      <c r="H22" s="1">
        <f>ROUND(D22*F22,2)</f>
        <v>1241</v>
      </c>
      <c r="I22" s="628"/>
      <c r="J22" s="192">
        <v>1241</v>
      </c>
      <c r="K22" s="192">
        <v>689</v>
      </c>
      <c r="L22" s="343"/>
      <c r="M22" s="343"/>
      <c r="N22" s="624"/>
    </row>
    <row r="23" spans="1:14" ht="25.5" x14ac:dyDescent="0.2">
      <c r="A23" s="605">
        <v>9</v>
      </c>
      <c r="B23" s="349" t="s">
        <v>100</v>
      </c>
      <c r="C23" s="350" t="s">
        <v>196</v>
      </c>
      <c r="D23" s="351">
        <v>1027</v>
      </c>
      <c r="E23" s="352" t="s">
        <v>197</v>
      </c>
      <c r="F23" s="353">
        <v>1</v>
      </c>
      <c r="G23" s="608" t="str">
        <f>CONCATENATE(D23,"*",F23)</f>
        <v>1027*1</v>
      </c>
      <c r="H23" s="1">
        <f>ROUND(D23*F23,2)</f>
        <v>1027</v>
      </c>
      <c r="I23" s="624"/>
      <c r="J23" s="569"/>
      <c r="K23" s="569"/>
      <c r="L23" s="569"/>
      <c r="M23" s="624"/>
      <c r="N23" s="624"/>
    </row>
    <row r="24" spans="1:14" x14ac:dyDescent="0.2">
      <c r="A24" s="354"/>
      <c r="B24" s="355" t="s">
        <v>198</v>
      </c>
      <c r="C24" s="356"/>
      <c r="D24" s="357"/>
      <c r="E24" s="356"/>
      <c r="F24" s="358"/>
      <c r="G24" s="359"/>
      <c r="H24" s="190"/>
      <c r="I24" s="624"/>
      <c r="J24" s="569"/>
      <c r="K24" s="569"/>
      <c r="L24" s="569"/>
      <c r="M24" s="624"/>
      <c r="N24" s="624"/>
    </row>
    <row r="25" spans="1:14" ht="38.25" x14ac:dyDescent="0.2">
      <c r="A25" s="89">
        <v>10</v>
      </c>
      <c r="B25" s="197" t="s">
        <v>101</v>
      </c>
      <c r="C25" s="360" t="s">
        <v>199</v>
      </c>
      <c r="D25" s="199">
        <v>1222</v>
      </c>
      <c r="E25" s="607" t="s">
        <v>200</v>
      </c>
      <c r="F25" s="609">
        <v>1</v>
      </c>
      <c r="G25" s="609" t="str">
        <f>CONCATENATE(D25,"*",F25)</f>
        <v>1222*1</v>
      </c>
      <c r="H25" s="1">
        <f>ROUND(D25*F25,2)</f>
        <v>1222</v>
      </c>
      <c r="I25" s="361">
        <v>335</v>
      </c>
      <c r="J25" s="569"/>
      <c r="K25" s="569"/>
      <c r="L25" s="569"/>
      <c r="M25" s="624"/>
      <c r="N25" s="624"/>
    </row>
    <row r="26" spans="1:14" ht="38.25" x14ac:dyDescent="0.2">
      <c r="A26" s="89">
        <v>11</v>
      </c>
      <c r="B26" s="196" t="s">
        <v>190</v>
      </c>
      <c r="C26" s="91" t="s">
        <v>201</v>
      </c>
      <c r="D26" s="202">
        <v>335</v>
      </c>
      <c r="E26" s="196" t="s">
        <v>202</v>
      </c>
      <c r="F26" s="203"/>
      <c r="G26" s="203"/>
      <c r="H26" s="190"/>
      <c r="I26" s="624"/>
      <c r="J26" s="624"/>
      <c r="K26" s="624"/>
      <c r="L26" s="624"/>
      <c r="M26" s="624"/>
      <c r="N26" s="624"/>
    </row>
    <row r="27" spans="1:14" ht="25.5" x14ac:dyDescent="0.2">
      <c r="A27" s="362" t="s">
        <v>102</v>
      </c>
      <c r="B27" s="90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63"/>
      <c r="D27" s="63">
        <v>8</v>
      </c>
      <c r="E27" s="91"/>
      <c r="F27" s="92">
        <v>6</v>
      </c>
      <c r="G27" s="92" t="str">
        <f>CONCATENATE(D26,"*",D27,"*",F27)</f>
        <v>335*8*6</v>
      </c>
      <c r="H27" s="93">
        <f>ROUND(D26*D27*F27,2)</f>
        <v>16080</v>
      </c>
      <c r="I27" s="624"/>
      <c r="J27" s="624"/>
      <c r="K27" s="624"/>
      <c r="L27" s="624"/>
      <c r="M27" s="624"/>
      <c r="N27" s="624"/>
    </row>
    <row r="28" spans="1:14" ht="25.5" x14ac:dyDescent="0.2">
      <c r="A28" s="362" t="s">
        <v>115</v>
      </c>
      <c r="B28" s="90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63"/>
      <c r="D28" s="63">
        <v>2</v>
      </c>
      <c r="E28" s="91"/>
      <c r="F28" s="92">
        <v>4</v>
      </c>
      <c r="G28" s="92" t="str">
        <f>CONCATENATE(D26,"*",D28,"*",F28)</f>
        <v>335*2*4</v>
      </c>
      <c r="H28" s="93">
        <f>ROUND(D26*D28*F28,2)</f>
        <v>2680</v>
      </c>
      <c r="I28" s="624"/>
      <c r="J28" s="624"/>
      <c r="K28" s="624"/>
      <c r="L28" s="624"/>
      <c r="M28" s="624"/>
      <c r="N28" s="624"/>
    </row>
    <row r="29" spans="1:14" ht="25.5" x14ac:dyDescent="0.2">
      <c r="A29" s="363" t="s">
        <v>116</v>
      </c>
      <c r="B29" s="90" t="str">
        <f t="shared" si="0"/>
        <v>Источники неорганизованные, (кол-во 2) веществ в каждом 2</v>
      </c>
      <c r="C29" s="63"/>
      <c r="D29" s="63">
        <v>2</v>
      </c>
      <c r="E29" s="91"/>
      <c r="F29" s="92">
        <v>2</v>
      </c>
      <c r="G29" s="92" t="str">
        <f>CONCATENATE(D26,"*",D29,"*",F29)</f>
        <v>335*2*2</v>
      </c>
      <c r="H29" s="93">
        <f>ROUND(D26*D29*F29,2)</f>
        <v>1340</v>
      </c>
      <c r="I29" s="624"/>
      <c r="J29" s="624"/>
      <c r="K29" s="624"/>
      <c r="L29" s="624"/>
      <c r="M29" s="624"/>
      <c r="N29" s="624"/>
    </row>
    <row r="30" spans="1:14" x14ac:dyDescent="0.2">
      <c r="A30" s="89"/>
      <c r="B30" s="364" t="s">
        <v>103</v>
      </c>
      <c r="C30" s="90"/>
      <c r="D30" s="204"/>
      <c r="E30" s="90"/>
      <c r="F30" s="92"/>
      <c r="G30" s="365">
        <f>SUM(H27:H29)</f>
        <v>20100</v>
      </c>
      <c r="H30" s="88"/>
    </row>
    <row r="31" spans="1:14" ht="21.75" customHeight="1" x14ac:dyDescent="0.2">
      <c r="A31" s="89">
        <v>12</v>
      </c>
      <c r="B31" s="193" t="s">
        <v>189</v>
      </c>
      <c r="C31" s="366">
        <v>0.3</v>
      </c>
      <c r="D31" s="202"/>
      <c r="E31" s="196" t="s">
        <v>203</v>
      </c>
      <c r="F31" s="203"/>
      <c r="G31" s="367" t="str">
        <f>CONCATENATE(G30," * ",C31)</f>
        <v>20100 * 0,3</v>
      </c>
      <c r="H31" s="1">
        <f>ROUND(G30*C31,2)</f>
        <v>6030</v>
      </c>
    </row>
    <row r="32" spans="1:14" ht="25.5" x14ac:dyDescent="0.2">
      <c r="A32" s="89">
        <v>13</v>
      </c>
      <c r="B32" s="193" t="s">
        <v>104</v>
      </c>
      <c r="C32" s="366">
        <v>0.14000000000000001</v>
      </c>
      <c r="D32" s="202"/>
      <c r="E32" s="196" t="s">
        <v>204</v>
      </c>
      <c r="F32" s="203"/>
      <c r="G32" s="367" t="str">
        <f>CONCATENATE(G30," * ",C32)</f>
        <v>20100 * 0,14</v>
      </c>
      <c r="H32" s="1">
        <f>ROUND(G30*C32,2)</f>
        <v>2814</v>
      </c>
    </row>
    <row r="33" spans="1:9" ht="24.75" customHeight="1" x14ac:dyDescent="0.2">
      <c r="A33" s="89">
        <v>14</v>
      </c>
      <c r="B33" s="193" t="s">
        <v>105</v>
      </c>
      <c r="C33" s="366">
        <v>0.14000000000000001</v>
      </c>
      <c r="D33" s="202"/>
      <c r="E33" s="196" t="s">
        <v>205</v>
      </c>
      <c r="F33" s="203"/>
      <c r="G33" s="367" t="str">
        <f>CONCATENATE(G30," * ",C33)</f>
        <v>20100 * 0,14</v>
      </c>
      <c r="H33" s="574">
        <f>ROUND(G30*C33,2)</f>
        <v>2814</v>
      </c>
    </row>
    <row r="34" spans="1:9" ht="38.25" hidden="1" x14ac:dyDescent="0.2">
      <c r="A34" s="89">
        <v>15</v>
      </c>
      <c r="B34" s="348" t="s">
        <v>301</v>
      </c>
      <c r="C34" s="609" t="s">
        <v>302</v>
      </c>
      <c r="D34" s="199">
        <v>653</v>
      </c>
      <c r="E34" s="607" t="s">
        <v>303</v>
      </c>
      <c r="F34" s="609">
        <v>0</v>
      </c>
      <c r="G34" s="609" t="str">
        <f>CONCATENATE(D34,"*",F34)</f>
        <v>653*0</v>
      </c>
      <c r="H34" s="575">
        <f>ROUND(D34*F34,2)</f>
        <v>0</v>
      </c>
    </row>
    <row r="35" spans="1:9" ht="38.25" x14ac:dyDescent="0.2">
      <c r="A35" s="89">
        <v>16</v>
      </c>
      <c r="B35" s="193" t="s">
        <v>206</v>
      </c>
      <c r="C35" s="203" t="s">
        <v>207</v>
      </c>
      <c r="D35" s="202">
        <v>932</v>
      </c>
      <c r="E35" s="196" t="s">
        <v>208</v>
      </c>
      <c r="F35" s="203">
        <v>1</v>
      </c>
      <c r="G35" s="203" t="str">
        <f>CONCATENATE(D35,"*",F35)</f>
        <v>932*1</v>
      </c>
      <c r="H35" s="1">
        <f>ROUND(D35*F35,2)</f>
        <v>932</v>
      </c>
    </row>
    <row r="36" spans="1:9" ht="38.25" x14ac:dyDescent="0.2">
      <c r="A36" s="89">
        <v>17</v>
      </c>
      <c r="B36" s="193" t="s">
        <v>58</v>
      </c>
      <c r="C36" s="366">
        <v>0.38</v>
      </c>
      <c r="D36" s="202"/>
      <c r="E36" s="196" t="s">
        <v>209</v>
      </c>
      <c r="F36" s="203"/>
      <c r="G36" s="367" t="str">
        <f>CONCATENATE(H35,"*",C36)</f>
        <v>932*0,38</v>
      </c>
      <c r="H36" s="1">
        <f>ROUND(H35*C36,2)</f>
        <v>354.16</v>
      </c>
    </row>
    <row r="37" spans="1:9" ht="51" x14ac:dyDescent="0.2">
      <c r="A37" s="89">
        <v>18</v>
      </c>
      <c r="B37" s="193" t="s">
        <v>106</v>
      </c>
      <c r="C37" s="203" t="s">
        <v>107</v>
      </c>
      <c r="D37" s="202">
        <v>212</v>
      </c>
      <c r="E37" s="196" t="s">
        <v>210</v>
      </c>
      <c r="F37" s="203">
        <v>4</v>
      </c>
      <c r="G37" s="203" t="str">
        <f>CONCATENATE(D37,"*",F37)</f>
        <v>212*4</v>
      </c>
      <c r="H37" s="190">
        <f>ROUND(D37*F37,2)</f>
        <v>848</v>
      </c>
    </row>
    <row r="38" spans="1:9" ht="51.75" customHeight="1" x14ac:dyDescent="0.2">
      <c r="A38" s="89">
        <v>19</v>
      </c>
      <c r="B38" s="368" t="s">
        <v>59</v>
      </c>
      <c r="C38" s="608" t="s">
        <v>107</v>
      </c>
      <c r="D38" s="369">
        <v>850</v>
      </c>
      <c r="E38" s="606" t="s">
        <v>211</v>
      </c>
      <c r="F38" s="608">
        <f>F37</f>
        <v>4</v>
      </c>
      <c r="G38" s="608" t="str">
        <f>CONCATENATE(D38,"*",F38)</f>
        <v>850*4</v>
      </c>
      <c r="H38" s="190">
        <f>ROUND(D38*F38,2)</f>
        <v>3400</v>
      </c>
    </row>
    <row r="39" spans="1:9" ht="24.75" customHeight="1" x14ac:dyDescent="0.2">
      <c r="A39" s="89">
        <v>20</v>
      </c>
      <c r="B39" s="368" t="s">
        <v>212</v>
      </c>
      <c r="C39" s="370">
        <v>0.4</v>
      </c>
      <c r="D39" s="369"/>
      <c r="E39" s="606" t="s">
        <v>213</v>
      </c>
      <c r="F39" s="608"/>
      <c r="G39" s="610" t="str">
        <f>CONCATENATE("(",H37,"+",H38,")","*",0.4)</f>
        <v>(848+3400)*0,4</v>
      </c>
      <c r="H39" s="1">
        <f>ROUND((H37+H38)*C39,2)</f>
        <v>1699.2</v>
      </c>
    </row>
    <row r="40" spans="1:9" x14ac:dyDescent="0.2">
      <c r="A40" s="371"/>
      <c r="B40" s="372" t="s">
        <v>214</v>
      </c>
      <c r="C40" s="373"/>
      <c r="D40" s="357"/>
      <c r="E40" s="356"/>
      <c r="F40" s="373"/>
      <c r="G40" s="576"/>
      <c r="I40" s="374"/>
    </row>
    <row r="41" spans="1:9" ht="51" x14ac:dyDescent="0.2">
      <c r="A41" s="89">
        <v>21</v>
      </c>
      <c r="B41" s="193" t="s">
        <v>215</v>
      </c>
      <c r="C41" s="203" t="s">
        <v>216</v>
      </c>
      <c r="D41" s="202">
        <v>729</v>
      </c>
      <c r="E41" s="196" t="s">
        <v>217</v>
      </c>
      <c r="F41" s="203">
        <v>1</v>
      </c>
      <c r="G41" s="203" t="str">
        <f>CONCATENATE(D41,"*",F41)</f>
        <v>729*1</v>
      </c>
      <c r="H41" s="1">
        <f>ROUND(D41*F41,2)</f>
        <v>729</v>
      </c>
    </row>
    <row r="42" spans="1:9" ht="27.75" customHeight="1" x14ac:dyDescent="0.2">
      <c r="A42" s="89">
        <v>22</v>
      </c>
      <c r="B42" s="368" t="s">
        <v>218</v>
      </c>
      <c r="C42" s="370">
        <v>0.25</v>
      </c>
      <c r="D42" s="369"/>
      <c r="E42" s="606" t="s">
        <v>219</v>
      </c>
      <c r="F42" s="608"/>
      <c r="G42" s="610" t="str">
        <f>CONCATENATE(H41,"*",C42)</f>
        <v>729*0,25</v>
      </c>
      <c r="H42" s="1">
        <f>ROUND(H41*C42,2)</f>
        <v>182.25</v>
      </c>
    </row>
    <row r="43" spans="1:9" ht="27.75" customHeight="1" x14ac:dyDescent="0.2">
      <c r="A43" s="371"/>
      <c r="B43" s="372" t="s">
        <v>220</v>
      </c>
      <c r="C43" s="375"/>
      <c r="D43" s="357"/>
      <c r="E43" s="356"/>
      <c r="F43" s="373"/>
      <c r="G43" s="376"/>
      <c r="H43" s="190"/>
    </row>
    <row r="44" spans="1:9" x14ac:dyDescent="0.2">
      <c r="A44" s="377"/>
      <c r="B44" s="378" t="s">
        <v>70</v>
      </c>
      <c r="C44" s="379"/>
      <c r="D44" s="380"/>
      <c r="E44" s="381"/>
      <c r="F44" s="382"/>
      <c r="G44" s="383"/>
      <c r="H44" s="577"/>
    </row>
    <row r="45" spans="1:9" ht="25.5" x14ac:dyDescent="0.2">
      <c r="A45" s="733">
        <v>23</v>
      </c>
      <c r="B45" s="735" t="s">
        <v>221</v>
      </c>
      <c r="C45" s="737" t="s">
        <v>222</v>
      </c>
      <c r="D45" s="739">
        <v>410</v>
      </c>
      <c r="E45" s="606" t="s">
        <v>223</v>
      </c>
      <c r="F45" s="608">
        <v>1</v>
      </c>
      <c r="G45" s="608" t="str">
        <f>CONCATENATE(D45,"*",F45,"*",F46)</f>
        <v>410*1*1</v>
      </c>
      <c r="H45" s="577">
        <f>ROUND(D45*F45*F46,2)</f>
        <v>410</v>
      </c>
    </row>
    <row r="46" spans="1:9" x14ac:dyDescent="0.2">
      <c r="A46" s="734"/>
      <c r="B46" s="736"/>
      <c r="C46" s="738"/>
      <c r="D46" s="740"/>
      <c r="E46" s="607" t="s">
        <v>224</v>
      </c>
      <c r="F46" s="609">
        <v>1</v>
      </c>
      <c r="G46" s="609"/>
      <c r="H46" s="578"/>
    </row>
    <row r="47" spans="1:9" ht="25.5" x14ac:dyDescent="0.2">
      <c r="A47" s="89">
        <v>24</v>
      </c>
      <c r="B47" s="193" t="s">
        <v>226</v>
      </c>
      <c r="C47" s="608" t="s">
        <v>225</v>
      </c>
      <c r="D47" s="610">
        <v>410</v>
      </c>
      <c r="E47" s="606" t="s">
        <v>227</v>
      </c>
      <c r="F47" s="608">
        <v>1</v>
      </c>
      <c r="G47" s="203" t="str">
        <f t="shared" ref="G47:G48" si="1">CONCATENATE(D47,"*",F47)</f>
        <v>410*1</v>
      </c>
      <c r="H47" s="190">
        <f t="shared" ref="H47:H48" si="2">ROUND(D47*F47,2)</f>
        <v>410</v>
      </c>
    </row>
    <row r="48" spans="1:9" ht="42.75" customHeight="1" x14ac:dyDescent="0.2">
      <c r="A48" s="89">
        <v>25</v>
      </c>
      <c r="B48" s="193" t="s">
        <v>228</v>
      </c>
      <c r="C48" s="608" t="s">
        <v>225</v>
      </c>
      <c r="D48" s="610">
        <v>1650</v>
      </c>
      <c r="E48" s="606" t="s">
        <v>229</v>
      </c>
      <c r="F48" s="608">
        <v>6</v>
      </c>
      <c r="G48" s="203" t="str">
        <f t="shared" si="1"/>
        <v>1650*6</v>
      </c>
      <c r="H48" s="190">
        <f t="shared" si="2"/>
        <v>9900</v>
      </c>
    </row>
    <row r="49" spans="1:8" ht="25.5" x14ac:dyDescent="0.2">
      <c r="A49" s="733">
        <v>26</v>
      </c>
      <c r="B49" s="735" t="s">
        <v>179</v>
      </c>
      <c r="C49" s="737" t="s">
        <v>222</v>
      </c>
      <c r="D49" s="739">
        <v>1648</v>
      </c>
      <c r="E49" s="606" t="s">
        <v>230</v>
      </c>
      <c r="F49" s="608">
        <v>1</v>
      </c>
      <c r="G49" s="608" t="str">
        <f>CONCATENATE(D49,"*",F49,"*",F50)</f>
        <v>1648*1*1</v>
      </c>
      <c r="H49" s="577">
        <f>ROUND(D49*F49*F50,2)</f>
        <v>1648</v>
      </c>
    </row>
    <row r="50" spans="1:8" x14ac:dyDescent="0.2">
      <c r="A50" s="734"/>
      <c r="B50" s="736"/>
      <c r="C50" s="738"/>
      <c r="D50" s="740"/>
      <c r="E50" s="607" t="s">
        <v>224</v>
      </c>
      <c r="F50" s="609">
        <f>F46</f>
        <v>1</v>
      </c>
      <c r="G50" s="609"/>
      <c r="H50" s="384"/>
    </row>
    <row r="51" spans="1:8" ht="25.5" x14ac:dyDescent="0.2">
      <c r="A51" s="733">
        <v>27</v>
      </c>
      <c r="B51" s="735" t="s">
        <v>231</v>
      </c>
      <c r="C51" s="737" t="s">
        <v>222</v>
      </c>
      <c r="D51" s="739">
        <v>1757</v>
      </c>
      <c r="E51" s="606" t="s">
        <v>232</v>
      </c>
      <c r="F51" s="608">
        <v>1</v>
      </c>
      <c r="G51" s="608" t="str">
        <f>CONCATENATE(D51,"*",F51,"*",F52)</f>
        <v>1757*1*1</v>
      </c>
      <c r="H51" s="577">
        <f>ROUND(D51*F51*F52,2)</f>
        <v>1757</v>
      </c>
    </row>
    <row r="52" spans="1:8" x14ac:dyDescent="0.2">
      <c r="A52" s="734"/>
      <c r="B52" s="736"/>
      <c r="C52" s="738"/>
      <c r="D52" s="740"/>
      <c r="E52" s="607" t="s">
        <v>224</v>
      </c>
      <c r="F52" s="609">
        <f>F46</f>
        <v>1</v>
      </c>
      <c r="G52" s="609"/>
      <c r="H52" s="384"/>
    </row>
    <row r="53" spans="1:8" ht="25.5" x14ac:dyDescent="0.2">
      <c r="A53" s="733">
        <v>28</v>
      </c>
      <c r="B53" s="735" t="s">
        <v>180</v>
      </c>
      <c r="C53" s="737" t="s">
        <v>222</v>
      </c>
      <c r="D53" s="739">
        <v>439</v>
      </c>
      <c r="E53" s="606" t="s">
        <v>233</v>
      </c>
      <c r="F53" s="608">
        <v>1</v>
      </c>
      <c r="G53" s="608" t="str">
        <f>CONCATENATE(D53,"*",F53,"*",F54)</f>
        <v>439*1*1</v>
      </c>
      <c r="H53" s="577">
        <f>ROUND(D53*F53*F54,2)</f>
        <v>439</v>
      </c>
    </row>
    <row r="54" spans="1:8" x14ac:dyDescent="0.2">
      <c r="A54" s="734"/>
      <c r="B54" s="736"/>
      <c r="C54" s="738"/>
      <c r="D54" s="740"/>
      <c r="E54" s="607" t="s">
        <v>224</v>
      </c>
      <c r="F54" s="609">
        <f>F46</f>
        <v>1</v>
      </c>
      <c r="G54" s="609"/>
    </row>
    <row r="55" spans="1:8" x14ac:dyDescent="0.2">
      <c r="A55" s="89"/>
      <c r="B55" s="49" t="s">
        <v>234</v>
      </c>
      <c r="C55" s="196"/>
      <c r="D55" s="202"/>
      <c r="E55" s="196"/>
      <c r="F55" s="203"/>
      <c r="G55" s="579"/>
      <c r="H55" s="88">
        <f>SUM(H17:H54)</f>
        <v>60412.61</v>
      </c>
    </row>
    <row r="56" spans="1:8" x14ac:dyDescent="0.2">
      <c r="A56" s="89"/>
      <c r="B56" s="196" t="s">
        <v>60</v>
      </c>
      <c r="C56" s="385">
        <v>9.7000000000000003E-3</v>
      </c>
      <c r="D56" s="621"/>
      <c r="E56" s="196" t="s">
        <v>235</v>
      </c>
      <c r="F56" s="203"/>
      <c r="G56" s="386" t="str">
        <f>CONCATENATE(H55,"*",C56)</f>
        <v>60412,61*0,0097</v>
      </c>
      <c r="H56" s="1">
        <f>ROUND(H55*0.0097,2)</f>
        <v>586</v>
      </c>
    </row>
    <row r="57" spans="1:8" x14ac:dyDescent="0.2">
      <c r="A57" s="89"/>
      <c r="B57" s="49" t="s">
        <v>108</v>
      </c>
      <c r="C57" s="196"/>
      <c r="D57" s="202"/>
      <c r="E57" s="196"/>
      <c r="F57" s="203"/>
      <c r="G57" s="203" t="str">
        <f>CONCATENATE(H55," + ",H56)</f>
        <v>60412,61 + 586</v>
      </c>
      <c r="H57" s="88">
        <f>ROUND(H55+H56,2)</f>
        <v>60998.61</v>
      </c>
    </row>
    <row r="58" spans="1:8" x14ac:dyDescent="0.2">
      <c r="A58" s="89"/>
      <c r="B58" s="196" t="s">
        <v>61</v>
      </c>
      <c r="C58" s="385">
        <v>1.11E-2</v>
      </c>
      <c r="D58" s="621"/>
      <c r="E58" s="196" t="s">
        <v>236</v>
      </c>
      <c r="F58" s="386"/>
      <c r="G58" s="386" t="str">
        <f>CONCATENATE(H57,"*",C58)</f>
        <v>60998,61*0,0111</v>
      </c>
      <c r="H58" s="1">
        <f>ROUND(H57*C58,2)</f>
        <v>677.08</v>
      </c>
    </row>
    <row r="59" spans="1:8" x14ac:dyDescent="0.2">
      <c r="A59" s="89"/>
      <c r="B59" s="196" t="s">
        <v>237</v>
      </c>
      <c r="C59" s="385">
        <v>2.5700000000000001E-2</v>
      </c>
      <c r="D59" s="621"/>
      <c r="E59" s="196" t="s">
        <v>238</v>
      </c>
      <c r="F59" s="386">
        <v>5</v>
      </c>
      <c r="G59" s="386" t="str">
        <f>CONCATENATE(H57,"*",C59,)</f>
        <v>60998,61*0,0257</v>
      </c>
      <c r="H59" s="1">
        <f>ROUND(H57*C59,2)</f>
        <v>1567.66</v>
      </c>
    </row>
    <row r="60" spans="1:8" ht="36" x14ac:dyDescent="0.2">
      <c r="A60" s="605"/>
      <c r="B60" s="352"/>
      <c r="C60" s="387">
        <v>0.15</v>
      </c>
      <c r="D60" s="622"/>
      <c r="E60" s="388" t="s">
        <v>304</v>
      </c>
      <c r="F60" s="389"/>
      <c r="G60" s="390" t="str">
        <f>CONCATENATE(H59,"*",C60)</f>
        <v>1567,66*0,15</v>
      </c>
      <c r="H60" s="328">
        <f>ROUND(H59*0.15,2)</f>
        <v>235.15</v>
      </c>
    </row>
    <row r="61" spans="1:8" ht="39" thickBot="1" x14ac:dyDescent="0.25">
      <c r="A61" s="391"/>
      <c r="B61" s="392" t="s">
        <v>62</v>
      </c>
      <c r="C61" s="392"/>
      <c r="D61" s="393"/>
      <c r="E61" s="392"/>
      <c r="F61" s="394"/>
      <c r="G61" s="394" t="str">
        <f>CONCATENATE(H57," + ",H58,"+",H59," + ",H16,"+",H60)</f>
        <v>60998,61 + 677,08+1567,66 + 2146+235,15</v>
      </c>
      <c r="H61" s="395">
        <f>ROUND(H57+H58+H59+H60+H16,2)</f>
        <v>65624.5</v>
      </c>
    </row>
    <row r="64" spans="1:8" x14ac:dyDescent="0.2">
      <c r="B64" s="291">
        <f>Т.с.!B86</f>
        <v>0</v>
      </c>
    </row>
    <row r="68" spans="2:2" x14ac:dyDescent="0.2">
      <c r="B68" s="291">
        <f>Т.с.!B89</f>
        <v>0</v>
      </c>
    </row>
  </sheetData>
  <mergeCells count="23">
    <mergeCell ref="F1:H1"/>
    <mergeCell ref="F2:H2"/>
    <mergeCell ref="A5:H5"/>
    <mergeCell ref="A7:H7"/>
    <mergeCell ref="A9:H9"/>
    <mergeCell ref="A49:A50"/>
    <mergeCell ref="B49:B50"/>
    <mergeCell ref="C49:C50"/>
    <mergeCell ref="D49:D50"/>
    <mergeCell ref="A11:H11"/>
    <mergeCell ref="B12:C12"/>
    <mergeCell ref="A45:A46"/>
    <mergeCell ref="B45:B46"/>
    <mergeCell ref="C45:C46"/>
    <mergeCell ref="D45:D46"/>
    <mergeCell ref="A51:A52"/>
    <mergeCell ref="B51:B52"/>
    <mergeCell ref="C51:C52"/>
    <mergeCell ref="D51:D52"/>
    <mergeCell ref="A53:A54"/>
    <mergeCell ref="B53:B54"/>
    <mergeCell ref="C53:C54"/>
    <mergeCell ref="D53:D54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="85" zoomScaleNormal="100" zoomScaleSheetLayoutView="85" workbookViewId="0">
      <selection activeCell="F1" sqref="F1:H4"/>
    </sheetView>
  </sheetViews>
  <sheetFormatPr defaultColWidth="9.140625" defaultRowHeight="12.75" x14ac:dyDescent="0.2"/>
  <cols>
    <col min="1" max="1" width="3.85546875" style="289" customWidth="1"/>
    <col min="2" max="2" width="23.7109375" style="289" customWidth="1"/>
    <col min="3" max="3" width="13.28515625" style="289" customWidth="1"/>
    <col min="4" max="4" width="11.7109375" style="299" customWidth="1"/>
    <col min="5" max="5" width="17.42578125" style="289" customWidth="1"/>
    <col min="6" max="6" width="7.140625" style="126" customWidth="1"/>
    <col min="7" max="7" width="16.85546875" style="289" customWidth="1"/>
    <col min="8" max="8" width="14.140625" style="299" customWidth="1"/>
    <col min="9" max="9" width="20.28515625" style="76" customWidth="1"/>
    <col min="10" max="11" width="30.5703125" style="76" customWidth="1"/>
    <col min="12" max="16384" width="9.140625" style="76"/>
  </cols>
  <sheetData>
    <row r="1" spans="1:11" s="96" customFormat="1" x14ac:dyDescent="0.2">
      <c r="A1" s="94" t="s">
        <v>65</v>
      </c>
      <c r="B1" s="94"/>
      <c r="C1" s="95"/>
      <c r="E1" s="94"/>
      <c r="F1" s="97"/>
    </row>
    <row r="2" spans="1:11" s="96" customFormat="1" x14ac:dyDescent="0.2">
      <c r="A2" s="94"/>
      <c r="B2" s="94"/>
      <c r="C2" s="95"/>
      <c r="E2" s="98"/>
      <c r="F2" s="292"/>
    </row>
    <row r="3" spans="1:11" s="96" customFormat="1" x14ac:dyDescent="0.2">
      <c r="A3" s="94"/>
      <c r="B3" s="99"/>
      <c r="C3" s="95"/>
      <c r="E3" s="98"/>
      <c r="F3" s="292"/>
    </row>
    <row r="4" spans="1:11" x14ac:dyDescent="0.2">
      <c r="D4" s="100"/>
      <c r="F4" s="760"/>
      <c r="G4" s="760"/>
      <c r="H4" s="760"/>
    </row>
    <row r="5" spans="1:11" x14ac:dyDescent="0.2">
      <c r="D5" s="100"/>
      <c r="F5" s="612"/>
      <c r="G5" s="611"/>
      <c r="H5" s="101"/>
    </row>
    <row r="6" spans="1:11" x14ac:dyDescent="0.2">
      <c r="D6" s="100"/>
      <c r="F6" s="612"/>
      <c r="G6" s="611"/>
      <c r="H6" s="101"/>
    </row>
    <row r="7" spans="1:11" ht="14.25" x14ac:dyDescent="0.2">
      <c r="A7" s="727" t="s">
        <v>178</v>
      </c>
      <c r="B7" s="727"/>
      <c r="C7" s="727"/>
      <c r="D7" s="727"/>
      <c r="E7" s="727"/>
      <c r="F7" s="727"/>
      <c r="G7" s="727"/>
      <c r="H7" s="727"/>
    </row>
    <row r="8" spans="1:11" x14ac:dyDescent="0.2">
      <c r="A8" s="613"/>
      <c r="B8" s="613"/>
      <c r="C8" s="613"/>
      <c r="D8" s="613"/>
      <c r="E8" s="613"/>
      <c r="F8" s="613"/>
      <c r="G8" s="613"/>
      <c r="H8" s="613"/>
    </row>
    <row r="9" spans="1:11" ht="86.25" customHeight="1" x14ac:dyDescent="0.2">
      <c r="A9" s="76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«Нежилое здание»,   расположенного  по    адресу: 
г. Москва, Мичуринский проспект, вл.9, корп.5.</v>
      </c>
      <c r="B9" s="762"/>
      <c r="C9" s="762"/>
      <c r="D9" s="762"/>
      <c r="E9" s="762"/>
      <c r="F9" s="762"/>
      <c r="G9" s="762"/>
      <c r="H9" s="762"/>
      <c r="J9" s="102" t="s">
        <v>117</v>
      </c>
      <c r="K9" s="102" t="s">
        <v>118</v>
      </c>
    </row>
    <row r="10" spans="1:11" x14ac:dyDescent="0.2">
      <c r="A10" s="103"/>
      <c r="B10" s="290"/>
      <c r="C10" s="290"/>
      <c r="D10" s="290"/>
      <c r="E10" s="290"/>
      <c r="F10" s="290"/>
      <c r="G10" s="290"/>
      <c r="H10" s="290"/>
      <c r="J10" s="636"/>
      <c r="K10" s="636"/>
    </row>
    <row r="11" spans="1:11" x14ac:dyDescent="0.2">
      <c r="A11" s="763" t="s">
        <v>88</v>
      </c>
      <c r="B11" s="763"/>
      <c r="C11" s="763"/>
      <c r="D11" s="763"/>
      <c r="E11" s="763"/>
      <c r="F11" s="763"/>
      <c r="G11" s="763"/>
      <c r="H11" s="763"/>
      <c r="J11" s="102" t="s">
        <v>119</v>
      </c>
      <c r="K11" s="102">
        <v>2500</v>
      </c>
    </row>
    <row r="12" spans="1:11" x14ac:dyDescent="0.2">
      <c r="A12" s="613"/>
      <c r="B12" s="613"/>
      <c r="C12" s="613"/>
      <c r="D12" s="613"/>
      <c r="E12" s="613"/>
      <c r="F12" s="613"/>
      <c r="G12" s="613"/>
      <c r="H12" s="613"/>
      <c r="J12" s="102" t="s">
        <v>120</v>
      </c>
      <c r="K12" s="102">
        <v>4500</v>
      </c>
    </row>
    <row r="13" spans="1:11" x14ac:dyDescent="0.2">
      <c r="A13" s="756"/>
      <c r="B13" s="756"/>
      <c r="C13" s="756"/>
      <c r="D13" s="756"/>
      <c r="E13" s="756"/>
      <c r="F13" s="756"/>
      <c r="G13" s="756"/>
      <c r="H13" s="756"/>
      <c r="J13" s="102" t="s">
        <v>121</v>
      </c>
      <c r="K13" s="102">
        <v>8000</v>
      </c>
    </row>
    <row r="14" spans="1:11" ht="37.5" customHeight="1" x14ac:dyDescent="0.2">
      <c r="A14" s="759" t="s">
        <v>317</v>
      </c>
      <c r="B14" s="756"/>
      <c r="C14" s="756"/>
      <c r="D14" s="756"/>
      <c r="E14" s="756"/>
      <c r="F14" s="756"/>
      <c r="G14" s="756"/>
      <c r="H14" s="756"/>
      <c r="I14" s="598"/>
      <c r="J14" s="102" t="s">
        <v>122</v>
      </c>
      <c r="K14" s="102">
        <v>16500</v>
      </c>
    </row>
    <row r="15" spans="1:11" x14ac:dyDescent="0.2">
      <c r="A15" s="756"/>
      <c r="B15" s="756"/>
      <c r="C15" s="756"/>
      <c r="D15" s="756"/>
      <c r="E15" s="756"/>
      <c r="F15" s="756"/>
      <c r="G15" s="756"/>
      <c r="H15" s="756"/>
      <c r="J15" s="102" t="s">
        <v>123</v>
      </c>
      <c r="K15" s="102">
        <v>23000</v>
      </c>
    </row>
    <row r="16" spans="1:11" x14ac:dyDescent="0.2">
      <c r="A16" s="756"/>
      <c r="B16" s="756"/>
      <c r="C16" s="756"/>
      <c r="D16" s="756"/>
      <c r="E16" s="756"/>
      <c r="F16" s="756"/>
      <c r="G16" s="756"/>
      <c r="H16" s="756"/>
      <c r="I16" s="400"/>
      <c r="J16" s="102" t="s">
        <v>124</v>
      </c>
      <c r="K16" s="102">
        <v>34000</v>
      </c>
    </row>
    <row r="17" spans="1:11" x14ac:dyDescent="0.2">
      <c r="A17" s="611"/>
      <c r="B17" s="611"/>
      <c r="C17" s="611"/>
      <c r="D17" s="611"/>
      <c r="E17" s="611"/>
      <c r="F17" s="611"/>
      <c r="G17" s="611"/>
      <c r="H17" s="611"/>
      <c r="J17" s="102" t="s">
        <v>125</v>
      </c>
      <c r="K17" s="102">
        <v>42000</v>
      </c>
    </row>
    <row r="18" spans="1:11" ht="25.5" x14ac:dyDescent="0.2">
      <c r="A18" s="206" t="s">
        <v>16</v>
      </c>
      <c r="B18" s="557" t="s">
        <v>2</v>
      </c>
      <c r="C18" s="557"/>
      <c r="D18" s="207" t="s">
        <v>8</v>
      </c>
      <c r="E18" s="557" t="s">
        <v>3</v>
      </c>
      <c r="F18" s="208" t="s">
        <v>4</v>
      </c>
      <c r="G18" s="557" t="s">
        <v>0</v>
      </c>
      <c r="H18" s="209" t="s">
        <v>5</v>
      </c>
      <c r="J18" s="102" t="s">
        <v>127</v>
      </c>
      <c r="K18" s="102">
        <v>55120</v>
      </c>
    </row>
    <row r="19" spans="1:11" ht="60.75" customHeight="1" x14ac:dyDescent="0.2">
      <c r="A19" s="210"/>
      <c r="B19" s="757" t="s">
        <v>126</v>
      </c>
      <c r="C19" s="757"/>
      <c r="D19" s="580">
        <f>Т.с.!H59</f>
        <v>372094.85</v>
      </c>
      <c r="E19" s="211"/>
      <c r="F19" s="212"/>
      <c r="G19" s="63" t="str">
        <f>CONCATENATE(D19,"*",0.4)</f>
        <v>372094,85*0,4</v>
      </c>
      <c r="H19" s="213">
        <f>ROUND(D19*0.4,2)</f>
        <v>148837.94</v>
      </c>
    </row>
    <row r="20" spans="1:11" ht="69" customHeight="1" x14ac:dyDescent="0.2">
      <c r="A20" s="214"/>
      <c r="B20" s="758" t="s">
        <v>348</v>
      </c>
      <c r="C20" s="758"/>
      <c r="D20" s="581">
        <f>K13</f>
        <v>8000</v>
      </c>
      <c r="E20" s="326" t="s">
        <v>349</v>
      </c>
      <c r="F20" s="582">
        <v>1</v>
      </c>
      <c r="G20" s="217" t="str">
        <f>CONCATENATE(D20,"*",F20)</f>
        <v>8000*1</v>
      </c>
      <c r="H20" s="218">
        <f>ROUND(D20*F20,2)</f>
        <v>8000</v>
      </c>
      <c r="I20" s="601"/>
    </row>
    <row r="21" spans="1:11" ht="33.75" customHeight="1" x14ac:dyDescent="0.2">
      <c r="A21" s="214"/>
      <c r="B21" s="758" t="s">
        <v>40</v>
      </c>
      <c r="C21" s="758"/>
      <c r="D21" s="583"/>
      <c r="E21" s="215"/>
      <c r="F21" s="216"/>
      <c r="G21" s="217"/>
      <c r="H21" s="218">
        <f>H20</f>
        <v>8000</v>
      </c>
    </row>
    <row r="22" spans="1:11" x14ac:dyDescent="0.2">
      <c r="A22" s="611"/>
      <c r="B22" s="611"/>
      <c r="C22" s="611"/>
      <c r="D22" s="611"/>
      <c r="E22" s="611"/>
      <c r="F22" s="611"/>
      <c r="G22" s="611"/>
      <c r="H22" s="611"/>
    </row>
    <row r="23" spans="1:11" ht="115.5" hidden="1" thickBot="1" x14ac:dyDescent="0.25">
      <c r="A23" s="104"/>
      <c r="B23" s="750" t="s">
        <v>75</v>
      </c>
      <c r="C23" s="751"/>
      <c r="D23" s="752"/>
      <c r="E23" s="105" t="s">
        <v>133</v>
      </c>
      <c r="F23" s="633">
        <v>3.351</v>
      </c>
      <c r="G23" s="106" t="s">
        <v>78</v>
      </c>
      <c r="H23" s="107">
        <v>96508.800000000003</v>
      </c>
      <c r="J23" s="102" t="s">
        <v>128</v>
      </c>
      <c r="K23" s="102" t="s">
        <v>128</v>
      </c>
    </row>
    <row r="24" spans="1:11" ht="115.5" hidden="1" thickBot="1" x14ac:dyDescent="0.25">
      <c r="A24" s="108"/>
      <c r="B24" s="109" t="s">
        <v>63</v>
      </c>
      <c r="C24" s="110"/>
      <c r="D24" s="110"/>
      <c r="E24" s="110"/>
      <c r="F24" s="110"/>
      <c r="G24" s="110"/>
      <c r="H24" s="111">
        <v>96508.800000000003</v>
      </c>
      <c r="J24" s="102" t="s">
        <v>129</v>
      </c>
      <c r="K24" s="102" t="s">
        <v>129</v>
      </c>
    </row>
    <row r="25" spans="1:11" s="65" customFormat="1" ht="115.5" hidden="1" thickBot="1" x14ac:dyDescent="0.25">
      <c r="A25" s="112"/>
      <c r="B25" s="753" t="s">
        <v>64</v>
      </c>
      <c r="C25" s="754"/>
      <c r="D25" s="755"/>
      <c r="E25" s="113" t="s">
        <v>134</v>
      </c>
      <c r="F25" s="114">
        <v>1</v>
      </c>
      <c r="G25" s="115" t="s">
        <v>79</v>
      </c>
      <c r="H25" s="116">
        <v>96508.800000000003</v>
      </c>
      <c r="I25" s="117"/>
      <c r="J25" s="102" t="s">
        <v>130</v>
      </c>
      <c r="K25" s="102" t="s">
        <v>130</v>
      </c>
    </row>
    <row r="26" spans="1:11" ht="115.5" hidden="1" thickBot="1" x14ac:dyDescent="0.25">
      <c r="A26" s="634"/>
      <c r="B26" s="118" t="s">
        <v>1</v>
      </c>
      <c r="C26" s="119"/>
      <c r="D26" s="119"/>
      <c r="E26" s="120"/>
      <c r="F26" s="121">
        <v>0.18</v>
      </c>
      <c r="G26" s="115" t="s">
        <v>80</v>
      </c>
      <c r="H26" s="116">
        <v>17371.580000000002</v>
      </c>
      <c r="I26" s="122"/>
      <c r="J26" s="102" t="s">
        <v>131</v>
      </c>
      <c r="K26" s="102" t="s">
        <v>131</v>
      </c>
    </row>
    <row r="27" spans="1:11" ht="115.5" hidden="1" thickBot="1" x14ac:dyDescent="0.25">
      <c r="A27" s="635"/>
      <c r="B27" s="118" t="s">
        <v>18</v>
      </c>
      <c r="C27" s="119"/>
      <c r="D27" s="119"/>
      <c r="E27" s="119"/>
      <c r="F27" s="119"/>
      <c r="G27" s="123"/>
      <c r="H27" s="107">
        <v>113880.38</v>
      </c>
      <c r="I27" s="122"/>
      <c r="J27" s="102" t="s">
        <v>132</v>
      </c>
      <c r="K27" s="102" t="s">
        <v>132</v>
      </c>
    </row>
    <row r="28" spans="1:11" s="5" customFormat="1" x14ac:dyDescent="0.2">
      <c r="A28" s="294"/>
      <c r="B28" s="294"/>
      <c r="C28" s="294"/>
      <c r="D28" s="295"/>
      <c r="E28" s="294"/>
      <c r="F28" s="296"/>
      <c r="G28" s="294"/>
      <c r="H28" s="297"/>
    </row>
    <row r="29" spans="1:11" s="5" customFormat="1" x14ac:dyDescent="0.2">
      <c r="A29" s="294"/>
      <c r="B29" s="294"/>
      <c r="C29" s="294"/>
      <c r="D29" s="295"/>
      <c r="E29" s="294"/>
      <c r="F29" s="296"/>
      <c r="G29" s="294"/>
      <c r="H29" s="297"/>
      <c r="J29" s="124"/>
    </row>
    <row r="30" spans="1:11" s="5" customFormat="1" x14ac:dyDescent="0.2">
      <c r="A30" s="294"/>
      <c r="B30" s="294"/>
      <c r="C30" s="294"/>
      <c r="D30" s="295"/>
      <c r="E30" s="294"/>
      <c r="F30" s="296"/>
      <c r="G30" s="294"/>
      <c r="H30" s="297"/>
      <c r="J30" s="124"/>
    </row>
    <row r="31" spans="1:11" s="5" customFormat="1" x14ac:dyDescent="0.2">
      <c r="A31" s="294"/>
      <c r="B31" s="294">
        <f>Т.с.!B86</f>
        <v>0</v>
      </c>
      <c r="C31" s="294"/>
      <c r="D31" s="295"/>
      <c r="E31" s="294"/>
      <c r="F31" s="296"/>
      <c r="G31" s="294"/>
      <c r="H31" s="297"/>
      <c r="J31" s="124"/>
    </row>
    <row r="32" spans="1:11" s="5" customFormat="1" x14ac:dyDescent="0.2">
      <c r="A32" s="294"/>
      <c r="B32" s="294"/>
      <c r="C32" s="294"/>
      <c r="D32" s="295"/>
      <c r="E32" s="294"/>
      <c r="F32" s="296"/>
      <c r="G32" s="294"/>
      <c r="H32" s="297"/>
      <c r="J32" s="124"/>
    </row>
    <row r="33" spans="1:10" s="5" customFormat="1" x14ac:dyDescent="0.2">
      <c r="A33" s="294"/>
      <c r="B33" s="294"/>
      <c r="C33" s="294"/>
      <c r="D33" s="295"/>
      <c r="E33" s="294"/>
      <c r="F33" s="296"/>
      <c r="G33" s="294"/>
      <c r="H33" s="297"/>
      <c r="J33" s="124"/>
    </row>
    <row r="34" spans="1:10" s="5" customFormat="1" x14ac:dyDescent="0.2">
      <c r="A34" s="294"/>
      <c r="B34" s="294"/>
      <c r="C34" s="294"/>
      <c r="D34" s="295"/>
      <c r="E34" s="294"/>
      <c r="F34" s="296"/>
      <c r="G34" s="294"/>
      <c r="H34" s="297"/>
      <c r="J34" s="124"/>
    </row>
    <row r="35" spans="1:10" s="289" customFormat="1" x14ac:dyDescent="0.2">
      <c r="B35" s="289">
        <f>Т.с.!B89</f>
        <v>0</v>
      </c>
      <c r="D35" s="299"/>
      <c r="F35" s="126"/>
      <c r="G35" s="299"/>
      <c r="H35" s="299"/>
      <c r="I35" s="527"/>
      <c r="J35" s="124"/>
    </row>
    <row r="36" spans="1:10" x14ac:dyDescent="0.2">
      <c r="B36" s="125"/>
      <c r="C36" s="125"/>
      <c r="G36" s="299"/>
      <c r="I36" s="122"/>
      <c r="J36" s="124"/>
    </row>
    <row r="37" spans="1:10" x14ac:dyDescent="0.2">
      <c r="J37" s="124"/>
    </row>
  </sheetData>
  <mergeCells count="13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A7" zoomScale="90" zoomScaleNormal="100" zoomScaleSheetLayoutView="90" workbookViewId="0">
      <selection activeCell="G1" sqref="G1:G3"/>
    </sheetView>
  </sheetViews>
  <sheetFormatPr defaultRowHeight="15" x14ac:dyDescent="0.2"/>
  <cols>
    <col min="1" max="1" width="3.85546875" style="478" customWidth="1"/>
    <col min="2" max="2" width="28.5703125" style="478" customWidth="1"/>
    <col min="3" max="3" width="11.28515625" style="478" customWidth="1"/>
    <col min="4" max="4" width="12" style="480" customWidth="1"/>
    <col min="5" max="5" width="28.28515625" style="478" customWidth="1"/>
    <col min="6" max="6" width="7.28515625" style="481" customWidth="1"/>
    <col min="7" max="7" width="18.42578125" style="478" customWidth="1"/>
    <col min="8" max="8" width="16.85546875" style="491" customWidth="1"/>
    <col min="9" max="9" width="15" style="484" customWidth="1"/>
    <col min="10" max="10" width="47.42578125" style="478" customWidth="1"/>
    <col min="11" max="256" width="9.140625" style="478"/>
    <col min="257" max="257" width="3.85546875" style="478" customWidth="1"/>
    <col min="258" max="258" width="28.5703125" style="478" customWidth="1"/>
    <col min="259" max="259" width="11.28515625" style="478" customWidth="1"/>
    <col min="260" max="260" width="13.140625" style="478" customWidth="1"/>
    <col min="261" max="261" width="28.28515625" style="478" customWidth="1"/>
    <col min="262" max="262" width="7.28515625" style="478" customWidth="1"/>
    <col min="263" max="263" width="22.7109375" style="478" customWidth="1"/>
    <col min="264" max="264" width="16.85546875" style="478" customWidth="1"/>
    <col min="265" max="265" width="15" style="478" customWidth="1"/>
    <col min="266" max="266" width="47.42578125" style="478" customWidth="1"/>
    <col min="267" max="512" width="9.140625" style="478"/>
    <col min="513" max="513" width="3.85546875" style="478" customWidth="1"/>
    <col min="514" max="514" width="28.5703125" style="478" customWidth="1"/>
    <col min="515" max="515" width="11.28515625" style="478" customWidth="1"/>
    <col min="516" max="516" width="13.140625" style="478" customWidth="1"/>
    <col min="517" max="517" width="28.28515625" style="478" customWidth="1"/>
    <col min="518" max="518" width="7.28515625" style="478" customWidth="1"/>
    <col min="519" max="519" width="22.7109375" style="478" customWidth="1"/>
    <col min="520" max="520" width="16.85546875" style="478" customWidth="1"/>
    <col min="521" max="521" width="15" style="478" customWidth="1"/>
    <col min="522" max="522" width="47.42578125" style="478" customWidth="1"/>
    <col min="523" max="768" width="9.140625" style="478"/>
    <col min="769" max="769" width="3.85546875" style="478" customWidth="1"/>
    <col min="770" max="770" width="28.5703125" style="478" customWidth="1"/>
    <col min="771" max="771" width="11.28515625" style="478" customWidth="1"/>
    <col min="772" max="772" width="13.140625" style="478" customWidth="1"/>
    <col min="773" max="773" width="28.28515625" style="478" customWidth="1"/>
    <col min="774" max="774" width="7.28515625" style="478" customWidth="1"/>
    <col min="775" max="775" width="22.7109375" style="478" customWidth="1"/>
    <col min="776" max="776" width="16.85546875" style="478" customWidth="1"/>
    <col min="777" max="777" width="15" style="478" customWidth="1"/>
    <col min="778" max="778" width="47.42578125" style="478" customWidth="1"/>
    <col min="779" max="1024" width="9.140625" style="478"/>
    <col min="1025" max="1025" width="3.85546875" style="478" customWidth="1"/>
    <col min="1026" max="1026" width="28.5703125" style="478" customWidth="1"/>
    <col min="1027" max="1027" width="11.28515625" style="478" customWidth="1"/>
    <col min="1028" max="1028" width="13.140625" style="478" customWidth="1"/>
    <col min="1029" max="1029" width="28.28515625" style="478" customWidth="1"/>
    <col min="1030" max="1030" width="7.28515625" style="478" customWidth="1"/>
    <col min="1031" max="1031" width="22.7109375" style="478" customWidth="1"/>
    <col min="1032" max="1032" width="16.85546875" style="478" customWidth="1"/>
    <col min="1033" max="1033" width="15" style="478" customWidth="1"/>
    <col min="1034" max="1034" width="47.42578125" style="478" customWidth="1"/>
    <col min="1035" max="1280" width="9.140625" style="478"/>
    <col min="1281" max="1281" width="3.85546875" style="478" customWidth="1"/>
    <col min="1282" max="1282" width="28.5703125" style="478" customWidth="1"/>
    <col min="1283" max="1283" width="11.28515625" style="478" customWidth="1"/>
    <col min="1284" max="1284" width="13.140625" style="478" customWidth="1"/>
    <col min="1285" max="1285" width="28.28515625" style="478" customWidth="1"/>
    <col min="1286" max="1286" width="7.28515625" style="478" customWidth="1"/>
    <col min="1287" max="1287" width="22.7109375" style="478" customWidth="1"/>
    <col min="1288" max="1288" width="16.85546875" style="478" customWidth="1"/>
    <col min="1289" max="1289" width="15" style="478" customWidth="1"/>
    <col min="1290" max="1290" width="47.42578125" style="478" customWidth="1"/>
    <col min="1291" max="1536" width="9.140625" style="478"/>
    <col min="1537" max="1537" width="3.85546875" style="478" customWidth="1"/>
    <col min="1538" max="1538" width="28.5703125" style="478" customWidth="1"/>
    <col min="1539" max="1539" width="11.28515625" style="478" customWidth="1"/>
    <col min="1540" max="1540" width="13.140625" style="478" customWidth="1"/>
    <col min="1541" max="1541" width="28.28515625" style="478" customWidth="1"/>
    <col min="1542" max="1542" width="7.28515625" style="478" customWidth="1"/>
    <col min="1543" max="1543" width="22.7109375" style="478" customWidth="1"/>
    <col min="1544" max="1544" width="16.85546875" style="478" customWidth="1"/>
    <col min="1545" max="1545" width="15" style="478" customWidth="1"/>
    <col min="1546" max="1546" width="47.42578125" style="478" customWidth="1"/>
    <col min="1547" max="1792" width="9.140625" style="478"/>
    <col min="1793" max="1793" width="3.85546875" style="478" customWidth="1"/>
    <col min="1794" max="1794" width="28.5703125" style="478" customWidth="1"/>
    <col min="1795" max="1795" width="11.28515625" style="478" customWidth="1"/>
    <col min="1796" max="1796" width="13.140625" style="478" customWidth="1"/>
    <col min="1797" max="1797" width="28.28515625" style="478" customWidth="1"/>
    <col min="1798" max="1798" width="7.28515625" style="478" customWidth="1"/>
    <col min="1799" max="1799" width="22.7109375" style="478" customWidth="1"/>
    <col min="1800" max="1800" width="16.85546875" style="478" customWidth="1"/>
    <col min="1801" max="1801" width="15" style="478" customWidth="1"/>
    <col min="1802" max="1802" width="47.42578125" style="478" customWidth="1"/>
    <col min="1803" max="2048" width="9.140625" style="478"/>
    <col min="2049" max="2049" width="3.85546875" style="478" customWidth="1"/>
    <col min="2050" max="2050" width="28.5703125" style="478" customWidth="1"/>
    <col min="2051" max="2051" width="11.28515625" style="478" customWidth="1"/>
    <col min="2052" max="2052" width="13.140625" style="478" customWidth="1"/>
    <col min="2053" max="2053" width="28.28515625" style="478" customWidth="1"/>
    <col min="2054" max="2054" width="7.28515625" style="478" customWidth="1"/>
    <col min="2055" max="2055" width="22.7109375" style="478" customWidth="1"/>
    <col min="2056" max="2056" width="16.85546875" style="478" customWidth="1"/>
    <col min="2057" max="2057" width="15" style="478" customWidth="1"/>
    <col min="2058" max="2058" width="47.42578125" style="478" customWidth="1"/>
    <col min="2059" max="2304" width="9.140625" style="478"/>
    <col min="2305" max="2305" width="3.85546875" style="478" customWidth="1"/>
    <col min="2306" max="2306" width="28.5703125" style="478" customWidth="1"/>
    <col min="2307" max="2307" width="11.28515625" style="478" customWidth="1"/>
    <col min="2308" max="2308" width="13.140625" style="478" customWidth="1"/>
    <col min="2309" max="2309" width="28.28515625" style="478" customWidth="1"/>
    <col min="2310" max="2310" width="7.28515625" style="478" customWidth="1"/>
    <col min="2311" max="2311" width="22.7109375" style="478" customWidth="1"/>
    <col min="2312" max="2312" width="16.85546875" style="478" customWidth="1"/>
    <col min="2313" max="2313" width="15" style="478" customWidth="1"/>
    <col min="2314" max="2314" width="47.42578125" style="478" customWidth="1"/>
    <col min="2315" max="2560" width="9.140625" style="478"/>
    <col min="2561" max="2561" width="3.85546875" style="478" customWidth="1"/>
    <col min="2562" max="2562" width="28.5703125" style="478" customWidth="1"/>
    <col min="2563" max="2563" width="11.28515625" style="478" customWidth="1"/>
    <col min="2564" max="2564" width="13.140625" style="478" customWidth="1"/>
    <col min="2565" max="2565" width="28.28515625" style="478" customWidth="1"/>
    <col min="2566" max="2566" width="7.28515625" style="478" customWidth="1"/>
    <col min="2567" max="2567" width="22.7109375" style="478" customWidth="1"/>
    <col min="2568" max="2568" width="16.85546875" style="478" customWidth="1"/>
    <col min="2569" max="2569" width="15" style="478" customWidth="1"/>
    <col min="2570" max="2570" width="47.42578125" style="478" customWidth="1"/>
    <col min="2571" max="2816" width="9.140625" style="478"/>
    <col min="2817" max="2817" width="3.85546875" style="478" customWidth="1"/>
    <col min="2818" max="2818" width="28.5703125" style="478" customWidth="1"/>
    <col min="2819" max="2819" width="11.28515625" style="478" customWidth="1"/>
    <col min="2820" max="2820" width="13.140625" style="478" customWidth="1"/>
    <col min="2821" max="2821" width="28.28515625" style="478" customWidth="1"/>
    <col min="2822" max="2822" width="7.28515625" style="478" customWidth="1"/>
    <col min="2823" max="2823" width="22.7109375" style="478" customWidth="1"/>
    <col min="2824" max="2824" width="16.85546875" style="478" customWidth="1"/>
    <col min="2825" max="2825" width="15" style="478" customWidth="1"/>
    <col min="2826" max="2826" width="47.42578125" style="478" customWidth="1"/>
    <col min="2827" max="3072" width="9.140625" style="478"/>
    <col min="3073" max="3073" width="3.85546875" style="478" customWidth="1"/>
    <col min="3074" max="3074" width="28.5703125" style="478" customWidth="1"/>
    <col min="3075" max="3075" width="11.28515625" style="478" customWidth="1"/>
    <col min="3076" max="3076" width="13.140625" style="478" customWidth="1"/>
    <col min="3077" max="3077" width="28.28515625" style="478" customWidth="1"/>
    <col min="3078" max="3078" width="7.28515625" style="478" customWidth="1"/>
    <col min="3079" max="3079" width="22.7109375" style="478" customWidth="1"/>
    <col min="3080" max="3080" width="16.85546875" style="478" customWidth="1"/>
    <col min="3081" max="3081" width="15" style="478" customWidth="1"/>
    <col min="3082" max="3082" width="47.42578125" style="478" customWidth="1"/>
    <col min="3083" max="3328" width="9.140625" style="478"/>
    <col min="3329" max="3329" width="3.85546875" style="478" customWidth="1"/>
    <col min="3330" max="3330" width="28.5703125" style="478" customWidth="1"/>
    <col min="3331" max="3331" width="11.28515625" style="478" customWidth="1"/>
    <col min="3332" max="3332" width="13.140625" style="478" customWidth="1"/>
    <col min="3333" max="3333" width="28.28515625" style="478" customWidth="1"/>
    <col min="3334" max="3334" width="7.28515625" style="478" customWidth="1"/>
    <col min="3335" max="3335" width="22.7109375" style="478" customWidth="1"/>
    <col min="3336" max="3336" width="16.85546875" style="478" customWidth="1"/>
    <col min="3337" max="3337" width="15" style="478" customWidth="1"/>
    <col min="3338" max="3338" width="47.42578125" style="478" customWidth="1"/>
    <col min="3339" max="3584" width="9.140625" style="478"/>
    <col min="3585" max="3585" width="3.85546875" style="478" customWidth="1"/>
    <col min="3586" max="3586" width="28.5703125" style="478" customWidth="1"/>
    <col min="3587" max="3587" width="11.28515625" style="478" customWidth="1"/>
    <col min="3588" max="3588" width="13.140625" style="478" customWidth="1"/>
    <col min="3589" max="3589" width="28.28515625" style="478" customWidth="1"/>
    <col min="3590" max="3590" width="7.28515625" style="478" customWidth="1"/>
    <col min="3591" max="3591" width="22.7109375" style="478" customWidth="1"/>
    <col min="3592" max="3592" width="16.85546875" style="478" customWidth="1"/>
    <col min="3593" max="3593" width="15" style="478" customWidth="1"/>
    <col min="3594" max="3594" width="47.42578125" style="478" customWidth="1"/>
    <col min="3595" max="3840" width="9.140625" style="478"/>
    <col min="3841" max="3841" width="3.85546875" style="478" customWidth="1"/>
    <col min="3842" max="3842" width="28.5703125" style="478" customWidth="1"/>
    <col min="3843" max="3843" width="11.28515625" style="478" customWidth="1"/>
    <col min="3844" max="3844" width="13.140625" style="478" customWidth="1"/>
    <col min="3845" max="3845" width="28.28515625" style="478" customWidth="1"/>
    <col min="3846" max="3846" width="7.28515625" style="478" customWidth="1"/>
    <col min="3847" max="3847" width="22.7109375" style="478" customWidth="1"/>
    <col min="3848" max="3848" width="16.85546875" style="478" customWidth="1"/>
    <col min="3849" max="3849" width="15" style="478" customWidth="1"/>
    <col min="3850" max="3850" width="47.42578125" style="478" customWidth="1"/>
    <col min="3851" max="4096" width="9.140625" style="478"/>
    <col min="4097" max="4097" width="3.85546875" style="478" customWidth="1"/>
    <col min="4098" max="4098" width="28.5703125" style="478" customWidth="1"/>
    <col min="4099" max="4099" width="11.28515625" style="478" customWidth="1"/>
    <col min="4100" max="4100" width="13.140625" style="478" customWidth="1"/>
    <col min="4101" max="4101" width="28.28515625" style="478" customWidth="1"/>
    <col min="4102" max="4102" width="7.28515625" style="478" customWidth="1"/>
    <col min="4103" max="4103" width="22.7109375" style="478" customWidth="1"/>
    <col min="4104" max="4104" width="16.85546875" style="478" customWidth="1"/>
    <col min="4105" max="4105" width="15" style="478" customWidth="1"/>
    <col min="4106" max="4106" width="47.42578125" style="478" customWidth="1"/>
    <col min="4107" max="4352" width="9.140625" style="478"/>
    <col min="4353" max="4353" width="3.85546875" style="478" customWidth="1"/>
    <col min="4354" max="4354" width="28.5703125" style="478" customWidth="1"/>
    <col min="4355" max="4355" width="11.28515625" style="478" customWidth="1"/>
    <col min="4356" max="4356" width="13.140625" style="478" customWidth="1"/>
    <col min="4357" max="4357" width="28.28515625" style="478" customWidth="1"/>
    <col min="4358" max="4358" width="7.28515625" style="478" customWidth="1"/>
    <col min="4359" max="4359" width="22.7109375" style="478" customWidth="1"/>
    <col min="4360" max="4360" width="16.85546875" style="478" customWidth="1"/>
    <col min="4361" max="4361" width="15" style="478" customWidth="1"/>
    <col min="4362" max="4362" width="47.42578125" style="478" customWidth="1"/>
    <col min="4363" max="4608" width="9.140625" style="478"/>
    <col min="4609" max="4609" width="3.85546875" style="478" customWidth="1"/>
    <col min="4610" max="4610" width="28.5703125" style="478" customWidth="1"/>
    <col min="4611" max="4611" width="11.28515625" style="478" customWidth="1"/>
    <col min="4612" max="4612" width="13.140625" style="478" customWidth="1"/>
    <col min="4613" max="4613" width="28.28515625" style="478" customWidth="1"/>
    <col min="4614" max="4614" width="7.28515625" style="478" customWidth="1"/>
    <col min="4615" max="4615" width="22.7109375" style="478" customWidth="1"/>
    <col min="4616" max="4616" width="16.85546875" style="478" customWidth="1"/>
    <col min="4617" max="4617" width="15" style="478" customWidth="1"/>
    <col min="4618" max="4618" width="47.42578125" style="478" customWidth="1"/>
    <col min="4619" max="4864" width="9.140625" style="478"/>
    <col min="4865" max="4865" width="3.85546875" style="478" customWidth="1"/>
    <col min="4866" max="4866" width="28.5703125" style="478" customWidth="1"/>
    <col min="4867" max="4867" width="11.28515625" style="478" customWidth="1"/>
    <col min="4868" max="4868" width="13.140625" style="478" customWidth="1"/>
    <col min="4869" max="4869" width="28.28515625" style="478" customWidth="1"/>
    <col min="4870" max="4870" width="7.28515625" style="478" customWidth="1"/>
    <col min="4871" max="4871" width="22.7109375" style="478" customWidth="1"/>
    <col min="4872" max="4872" width="16.85546875" style="478" customWidth="1"/>
    <col min="4873" max="4873" width="15" style="478" customWidth="1"/>
    <col min="4874" max="4874" width="47.42578125" style="478" customWidth="1"/>
    <col min="4875" max="5120" width="9.140625" style="478"/>
    <col min="5121" max="5121" width="3.85546875" style="478" customWidth="1"/>
    <col min="5122" max="5122" width="28.5703125" style="478" customWidth="1"/>
    <col min="5123" max="5123" width="11.28515625" style="478" customWidth="1"/>
    <col min="5124" max="5124" width="13.140625" style="478" customWidth="1"/>
    <col min="5125" max="5125" width="28.28515625" style="478" customWidth="1"/>
    <col min="5126" max="5126" width="7.28515625" style="478" customWidth="1"/>
    <col min="5127" max="5127" width="22.7109375" style="478" customWidth="1"/>
    <col min="5128" max="5128" width="16.85546875" style="478" customWidth="1"/>
    <col min="5129" max="5129" width="15" style="478" customWidth="1"/>
    <col min="5130" max="5130" width="47.42578125" style="478" customWidth="1"/>
    <col min="5131" max="5376" width="9.140625" style="478"/>
    <col min="5377" max="5377" width="3.85546875" style="478" customWidth="1"/>
    <col min="5378" max="5378" width="28.5703125" style="478" customWidth="1"/>
    <col min="5379" max="5379" width="11.28515625" style="478" customWidth="1"/>
    <col min="5380" max="5380" width="13.140625" style="478" customWidth="1"/>
    <col min="5381" max="5381" width="28.28515625" style="478" customWidth="1"/>
    <col min="5382" max="5382" width="7.28515625" style="478" customWidth="1"/>
    <col min="5383" max="5383" width="22.7109375" style="478" customWidth="1"/>
    <col min="5384" max="5384" width="16.85546875" style="478" customWidth="1"/>
    <col min="5385" max="5385" width="15" style="478" customWidth="1"/>
    <col min="5386" max="5386" width="47.42578125" style="478" customWidth="1"/>
    <col min="5387" max="5632" width="9.140625" style="478"/>
    <col min="5633" max="5633" width="3.85546875" style="478" customWidth="1"/>
    <col min="5634" max="5634" width="28.5703125" style="478" customWidth="1"/>
    <col min="5635" max="5635" width="11.28515625" style="478" customWidth="1"/>
    <col min="5636" max="5636" width="13.140625" style="478" customWidth="1"/>
    <col min="5637" max="5637" width="28.28515625" style="478" customWidth="1"/>
    <col min="5638" max="5638" width="7.28515625" style="478" customWidth="1"/>
    <col min="5639" max="5639" width="22.7109375" style="478" customWidth="1"/>
    <col min="5640" max="5640" width="16.85546875" style="478" customWidth="1"/>
    <col min="5641" max="5641" width="15" style="478" customWidth="1"/>
    <col min="5642" max="5642" width="47.42578125" style="478" customWidth="1"/>
    <col min="5643" max="5888" width="9.140625" style="478"/>
    <col min="5889" max="5889" width="3.85546875" style="478" customWidth="1"/>
    <col min="5890" max="5890" width="28.5703125" style="478" customWidth="1"/>
    <col min="5891" max="5891" width="11.28515625" style="478" customWidth="1"/>
    <col min="5892" max="5892" width="13.140625" style="478" customWidth="1"/>
    <col min="5893" max="5893" width="28.28515625" style="478" customWidth="1"/>
    <col min="5894" max="5894" width="7.28515625" style="478" customWidth="1"/>
    <col min="5895" max="5895" width="22.7109375" style="478" customWidth="1"/>
    <col min="5896" max="5896" width="16.85546875" style="478" customWidth="1"/>
    <col min="5897" max="5897" width="15" style="478" customWidth="1"/>
    <col min="5898" max="5898" width="47.42578125" style="478" customWidth="1"/>
    <col min="5899" max="6144" width="9.140625" style="478"/>
    <col min="6145" max="6145" width="3.85546875" style="478" customWidth="1"/>
    <col min="6146" max="6146" width="28.5703125" style="478" customWidth="1"/>
    <col min="6147" max="6147" width="11.28515625" style="478" customWidth="1"/>
    <col min="6148" max="6148" width="13.140625" style="478" customWidth="1"/>
    <col min="6149" max="6149" width="28.28515625" style="478" customWidth="1"/>
    <col min="6150" max="6150" width="7.28515625" style="478" customWidth="1"/>
    <col min="6151" max="6151" width="22.7109375" style="478" customWidth="1"/>
    <col min="6152" max="6152" width="16.85546875" style="478" customWidth="1"/>
    <col min="6153" max="6153" width="15" style="478" customWidth="1"/>
    <col min="6154" max="6154" width="47.42578125" style="478" customWidth="1"/>
    <col min="6155" max="6400" width="9.140625" style="478"/>
    <col min="6401" max="6401" width="3.85546875" style="478" customWidth="1"/>
    <col min="6402" max="6402" width="28.5703125" style="478" customWidth="1"/>
    <col min="6403" max="6403" width="11.28515625" style="478" customWidth="1"/>
    <col min="6404" max="6404" width="13.140625" style="478" customWidth="1"/>
    <col min="6405" max="6405" width="28.28515625" style="478" customWidth="1"/>
    <col min="6406" max="6406" width="7.28515625" style="478" customWidth="1"/>
    <col min="6407" max="6407" width="22.7109375" style="478" customWidth="1"/>
    <col min="6408" max="6408" width="16.85546875" style="478" customWidth="1"/>
    <col min="6409" max="6409" width="15" style="478" customWidth="1"/>
    <col min="6410" max="6410" width="47.42578125" style="478" customWidth="1"/>
    <col min="6411" max="6656" width="9.140625" style="478"/>
    <col min="6657" max="6657" width="3.85546875" style="478" customWidth="1"/>
    <col min="6658" max="6658" width="28.5703125" style="478" customWidth="1"/>
    <col min="6659" max="6659" width="11.28515625" style="478" customWidth="1"/>
    <col min="6660" max="6660" width="13.140625" style="478" customWidth="1"/>
    <col min="6661" max="6661" width="28.28515625" style="478" customWidth="1"/>
    <col min="6662" max="6662" width="7.28515625" style="478" customWidth="1"/>
    <col min="6663" max="6663" width="22.7109375" style="478" customWidth="1"/>
    <col min="6664" max="6664" width="16.85546875" style="478" customWidth="1"/>
    <col min="6665" max="6665" width="15" style="478" customWidth="1"/>
    <col min="6666" max="6666" width="47.42578125" style="478" customWidth="1"/>
    <col min="6667" max="6912" width="9.140625" style="478"/>
    <col min="6913" max="6913" width="3.85546875" style="478" customWidth="1"/>
    <col min="6914" max="6914" width="28.5703125" style="478" customWidth="1"/>
    <col min="6915" max="6915" width="11.28515625" style="478" customWidth="1"/>
    <col min="6916" max="6916" width="13.140625" style="478" customWidth="1"/>
    <col min="6917" max="6917" width="28.28515625" style="478" customWidth="1"/>
    <col min="6918" max="6918" width="7.28515625" style="478" customWidth="1"/>
    <col min="6919" max="6919" width="22.7109375" style="478" customWidth="1"/>
    <col min="6920" max="6920" width="16.85546875" style="478" customWidth="1"/>
    <col min="6921" max="6921" width="15" style="478" customWidth="1"/>
    <col min="6922" max="6922" width="47.42578125" style="478" customWidth="1"/>
    <col min="6923" max="7168" width="9.140625" style="478"/>
    <col min="7169" max="7169" width="3.85546875" style="478" customWidth="1"/>
    <col min="7170" max="7170" width="28.5703125" style="478" customWidth="1"/>
    <col min="7171" max="7171" width="11.28515625" style="478" customWidth="1"/>
    <col min="7172" max="7172" width="13.140625" style="478" customWidth="1"/>
    <col min="7173" max="7173" width="28.28515625" style="478" customWidth="1"/>
    <col min="7174" max="7174" width="7.28515625" style="478" customWidth="1"/>
    <col min="7175" max="7175" width="22.7109375" style="478" customWidth="1"/>
    <col min="7176" max="7176" width="16.85546875" style="478" customWidth="1"/>
    <col min="7177" max="7177" width="15" style="478" customWidth="1"/>
    <col min="7178" max="7178" width="47.42578125" style="478" customWidth="1"/>
    <col min="7179" max="7424" width="9.140625" style="478"/>
    <col min="7425" max="7425" width="3.85546875" style="478" customWidth="1"/>
    <col min="7426" max="7426" width="28.5703125" style="478" customWidth="1"/>
    <col min="7427" max="7427" width="11.28515625" style="478" customWidth="1"/>
    <col min="7428" max="7428" width="13.140625" style="478" customWidth="1"/>
    <col min="7429" max="7429" width="28.28515625" style="478" customWidth="1"/>
    <col min="7430" max="7430" width="7.28515625" style="478" customWidth="1"/>
    <col min="7431" max="7431" width="22.7109375" style="478" customWidth="1"/>
    <col min="7432" max="7432" width="16.85546875" style="478" customWidth="1"/>
    <col min="7433" max="7433" width="15" style="478" customWidth="1"/>
    <col min="7434" max="7434" width="47.42578125" style="478" customWidth="1"/>
    <col min="7435" max="7680" width="9.140625" style="478"/>
    <col min="7681" max="7681" width="3.85546875" style="478" customWidth="1"/>
    <col min="7682" max="7682" width="28.5703125" style="478" customWidth="1"/>
    <col min="7683" max="7683" width="11.28515625" style="478" customWidth="1"/>
    <col min="7684" max="7684" width="13.140625" style="478" customWidth="1"/>
    <col min="7685" max="7685" width="28.28515625" style="478" customWidth="1"/>
    <col min="7686" max="7686" width="7.28515625" style="478" customWidth="1"/>
    <col min="7687" max="7687" width="22.7109375" style="478" customWidth="1"/>
    <col min="7688" max="7688" width="16.85546875" style="478" customWidth="1"/>
    <col min="7689" max="7689" width="15" style="478" customWidth="1"/>
    <col min="7690" max="7690" width="47.42578125" style="478" customWidth="1"/>
    <col min="7691" max="7936" width="9.140625" style="478"/>
    <col min="7937" max="7937" width="3.85546875" style="478" customWidth="1"/>
    <col min="7938" max="7938" width="28.5703125" style="478" customWidth="1"/>
    <col min="7939" max="7939" width="11.28515625" style="478" customWidth="1"/>
    <col min="7940" max="7940" width="13.140625" style="478" customWidth="1"/>
    <col min="7941" max="7941" width="28.28515625" style="478" customWidth="1"/>
    <col min="7942" max="7942" width="7.28515625" style="478" customWidth="1"/>
    <col min="7943" max="7943" width="22.7109375" style="478" customWidth="1"/>
    <col min="7944" max="7944" width="16.85546875" style="478" customWidth="1"/>
    <col min="7945" max="7945" width="15" style="478" customWidth="1"/>
    <col min="7946" max="7946" width="47.42578125" style="478" customWidth="1"/>
    <col min="7947" max="8192" width="9.140625" style="478"/>
    <col min="8193" max="8193" width="3.85546875" style="478" customWidth="1"/>
    <col min="8194" max="8194" width="28.5703125" style="478" customWidth="1"/>
    <col min="8195" max="8195" width="11.28515625" style="478" customWidth="1"/>
    <col min="8196" max="8196" width="13.140625" style="478" customWidth="1"/>
    <col min="8197" max="8197" width="28.28515625" style="478" customWidth="1"/>
    <col min="8198" max="8198" width="7.28515625" style="478" customWidth="1"/>
    <col min="8199" max="8199" width="22.7109375" style="478" customWidth="1"/>
    <col min="8200" max="8200" width="16.85546875" style="478" customWidth="1"/>
    <col min="8201" max="8201" width="15" style="478" customWidth="1"/>
    <col min="8202" max="8202" width="47.42578125" style="478" customWidth="1"/>
    <col min="8203" max="8448" width="9.140625" style="478"/>
    <col min="8449" max="8449" width="3.85546875" style="478" customWidth="1"/>
    <col min="8450" max="8450" width="28.5703125" style="478" customWidth="1"/>
    <col min="8451" max="8451" width="11.28515625" style="478" customWidth="1"/>
    <col min="8452" max="8452" width="13.140625" style="478" customWidth="1"/>
    <col min="8453" max="8453" width="28.28515625" style="478" customWidth="1"/>
    <col min="8454" max="8454" width="7.28515625" style="478" customWidth="1"/>
    <col min="8455" max="8455" width="22.7109375" style="478" customWidth="1"/>
    <col min="8456" max="8456" width="16.85546875" style="478" customWidth="1"/>
    <col min="8457" max="8457" width="15" style="478" customWidth="1"/>
    <col min="8458" max="8458" width="47.42578125" style="478" customWidth="1"/>
    <col min="8459" max="8704" width="9.140625" style="478"/>
    <col min="8705" max="8705" width="3.85546875" style="478" customWidth="1"/>
    <col min="8706" max="8706" width="28.5703125" style="478" customWidth="1"/>
    <col min="8707" max="8707" width="11.28515625" style="478" customWidth="1"/>
    <col min="8708" max="8708" width="13.140625" style="478" customWidth="1"/>
    <col min="8709" max="8709" width="28.28515625" style="478" customWidth="1"/>
    <col min="8710" max="8710" width="7.28515625" style="478" customWidth="1"/>
    <col min="8711" max="8711" width="22.7109375" style="478" customWidth="1"/>
    <col min="8712" max="8712" width="16.85546875" style="478" customWidth="1"/>
    <col min="8713" max="8713" width="15" style="478" customWidth="1"/>
    <col min="8714" max="8714" width="47.42578125" style="478" customWidth="1"/>
    <col min="8715" max="8960" width="9.140625" style="478"/>
    <col min="8961" max="8961" width="3.85546875" style="478" customWidth="1"/>
    <col min="8962" max="8962" width="28.5703125" style="478" customWidth="1"/>
    <col min="8963" max="8963" width="11.28515625" style="478" customWidth="1"/>
    <col min="8964" max="8964" width="13.140625" style="478" customWidth="1"/>
    <col min="8965" max="8965" width="28.28515625" style="478" customWidth="1"/>
    <col min="8966" max="8966" width="7.28515625" style="478" customWidth="1"/>
    <col min="8967" max="8967" width="22.7109375" style="478" customWidth="1"/>
    <col min="8968" max="8968" width="16.85546875" style="478" customWidth="1"/>
    <col min="8969" max="8969" width="15" style="478" customWidth="1"/>
    <col min="8970" max="8970" width="47.42578125" style="478" customWidth="1"/>
    <col min="8971" max="9216" width="9.140625" style="478"/>
    <col min="9217" max="9217" width="3.85546875" style="478" customWidth="1"/>
    <col min="9218" max="9218" width="28.5703125" style="478" customWidth="1"/>
    <col min="9219" max="9219" width="11.28515625" style="478" customWidth="1"/>
    <col min="9220" max="9220" width="13.140625" style="478" customWidth="1"/>
    <col min="9221" max="9221" width="28.28515625" style="478" customWidth="1"/>
    <col min="9222" max="9222" width="7.28515625" style="478" customWidth="1"/>
    <col min="9223" max="9223" width="22.7109375" style="478" customWidth="1"/>
    <col min="9224" max="9224" width="16.85546875" style="478" customWidth="1"/>
    <col min="9225" max="9225" width="15" style="478" customWidth="1"/>
    <col min="9226" max="9226" width="47.42578125" style="478" customWidth="1"/>
    <col min="9227" max="9472" width="9.140625" style="478"/>
    <col min="9473" max="9473" width="3.85546875" style="478" customWidth="1"/>
    <col min="9474" max="9474" width="28.5703125" style="478" customWidth="1"/>
    <col min="9475" max="9475" width="11.28515625" style="478" customWidth="1"/>
    <col min="9476" max="9476" width="13.140625" style="478" customWidth="1"/>
    <col min="9477" max="9477" width="28.28515625" style="478" customWidth="1"/>
    <col min="9478" max="9478" width="7.28515625" style="478" customWidth="1"/>
    <col min="9479" max="9479" width="22.7109375" style="478" customWidth="1"/>
    <col min="9480" max="9480" width="16.85546875" style="478" customWidth="1"/>
    <col min="9481" max="9481" width="15" style="478" customWidth="1"/>
    <col min="9482" max="9482" width="47.42578125" style="478" customWidth="1"/>
    <col min="9483" max="9728" width="9.140625" style="478"/>
    <col min="9729" max="9729" width="3.85546875" style="478" customWidth="1"/>
    <col min="9730" max="9730" width="28.5703125" style="478" customWidth="1"/>
    <col min="9731" max="9731" width="11.28515625" style="478" customWidth="1"/>
    <col min="9732" max="9732" width="13.140625" style="478" customWidth="1"/>
    <col min="9733" max="9733" width="28.28515625" style="478" customWidth="1"/>
    <col min="9734" max="9734" width="7.28515625" style="478" customWidth="1"/>
    <col min="9735" max="9735" width="22.7109375" style="478" customWidth="1"/>
    <col min="9736" max="9736" width="16.85546875" style="478" customWidth="1"/>
    <col min="9737" max="9737" width="15" style="478" customWidth="1"/>
    <col min="9738" max="9738" width="47.42578125" style="478" customWidth="1"/>
    <col min="9739" max="9984" width="9.140625" style="478"/>
    <col min="9985" max="9985" width="3.85546875" style="478" customWidth="1"/>
    <col min="9986" max="9986" width="28.5703125" style="478" customWidth="1"/>
    <col min="9987" max="9987" width="11.28515625" style="478" customWidth="1"/>
    <col min="9988" max="9988" width="13.140625" style="478" customWidth="1"/>
    <col min="9989" max="9989" width="28.28515625" style="478" customWidth="1"/>
    <col min="9990" max="9990" width="7.28515625" style="478" customWidth="1"/>
    <col min="9991" max="9991" width="22.7109375" style="478" customWidth="1"/>
    <col min="9992" max="9992" width="16.85546875" style="478" customWidth="1"/>
    <col min="9993" max="9993" width="15" style="478" customWidth="1"/>
    <col min="9994" max="9994" width="47.42578125" style="478" customWidth="1"/>
    <col min="9995" max="10240" width="9.140625" style="478"/>
    <col min="10241" max="10241" width="3.85546875" style="478" customWidth="1"/>
    <col min="10242" max="10242" width="28.5703125" style="478" customWidth="1"/>
    <col min="10243" max="10243" width="11.28515625" style="478" customWidth="1"/>
    <col min="10244" max="10244" width="13.140625" style="478" customWidth="1"/>
    <col min="10245" max="10245" width="28.28515625" style="478" customWidth="1"/>
    <col min="10246" max="10246" width="7.28515625" style="478" customWidth="1"/>
    <col min="10247" max="10247" width="22.7109375" style="478" customWidth="1"/>
    <col min="10248" max="10248" width="16.85546875" style="478" customWidth="1"/>
    <col min="10249" max="10249" width="15" style="478" customWidth="1"/>
    <col min="10250" max="10250" width="47.42578125" style="478" customWidth="1"/>
    <col min="10251" max="10496" width="9.140625" style="478"/>
    <col min="10497" max="10497" width="3.85546875" style="478" customWidth="1"/>
    <col min="10498" max="10498" width="28.5703125" style="478" customWidth="1"/>
    <col min="10499" max="10499" width="11.28515625" style="478" customWidth="1"/>
    <col min="10500" max="10500" width="13.140625" style="478" customWidth="1"/>
    <col min="10501" max="10501" width="28.28515625" style="478" customWidth="1"/>
    <col min="10502" max="10502" width="7.28515625" style="478" customWidth="1"/>
    <col min="10503" max="10503" width="22.7109375" style="478" customWidth="1"/>
    <col min="10504" max="10504" width="16.85546875" style="478" customWidth="1"/>
    <col min="10505" max="10505" width="15" style="478" customWidth="1"/>
    <col min="10506" max="10506" width="47.42578125" style="478" customWidth="1"/>
    <col min="10507" max="10752" width="9.140625" style="478"/>
    <col min="10753" max="10753" width="3.85546875" style="478" customWidth="1"/>
    <col min="10754" max="10754" width="28.5703125" style="478" customWidth="1"/>
    <col min="10755" max="10755" width="11.28515625" style="478" customWidth="1"/>
    <col min="10756" max="10756" width="13.140625" style="478" customWidth="1"/>
    <col min="10757" max="10757" width="28.28515625" style="478" customWidth="1"/>
    <col min="10758" max="10758" width="7.28515625" style="478" customWidth="1"/>
    <col min="10759" max="10759" width="22.7109375" style="478" customWidth="1"/>
    <col min="10760" max="10760" width="16.85546875" style="478" customWidth="1"/>
    <col min="10761" max="10761" width="15" style="478" customWidth="1"/>
    <col min="10762" max="10762" width="47.42578125" style="478" customWidth="1"/>
    <col min="10763" max="11008" width="9.140625" style="478"/>
    <col min="11009" max="11009" width="3.85546875" style="478" customWidth="1"/>
    <col min="11010" max="11010" width="28.5703125" style="478" customWidth="1"/>
    <col min="11011" max="11011" width="11.28515625" style="478" customWidth="1"/>
    <col min="11012" max="11012" width="13.140625" style="478" customWidth="1"/>
    <col min="11013" max="11013" width="28.28515625" style="478" customWidth="1"/>
    <col min="11014" max="11014" width="7.28515625" style="478" customWidth="1"/>
    <col min="11015" max="11015" width="22.7109375" style="478" customWidth="1"/>
    <col min="11016" max="11016" width="16.85546875" style="478" customWidth="1"/>
    <col min="11017" max="11017" width="15" style="478" customWidth="1"/>
    <col min="11018" max="11018" width="47.42578125" style="478" customWidth="1"/>
    <col min="11019" max="11264" width="9.140625" style="478"/>
    <col min="11265" max="11265" width="3.85546875" style="478" customWidth="1"/>
    <col min="11266" max="11266" width="28.5703125" style="478" customWidth="1"/>
    <col min="11267" max="11267" width="11.28515625" style="478" customWidth="1"/>
    <col min="11268" max="11268" width="13.140625" style="478" customWidth="1"/>
    <col min="11269" max="11269" width="28.28515625" style="478" customWidth="1"/>
    <col min="11270" max="11270" width="7.28515625" style="478" customWidth="1"/>
    <col min="11271" max="11271" width="22.7109375" style="478" customWidth="1"/>
    <col min="11272" max="11272" width="16.85546875" style="478" customWidth="1"/>
    <col min="11273" max="11273" width="15" style="478" customWidth="1"/>
    <col min="11274" max="11274" width="47.42578125" style="478" customWidth="1"/>
    <col min="11275" max="11520" width="9.140625" style="478"/>
    <col min="11521" max="11521" width="3.85546875" style="478" customWidth="1"/>
    <col min="11522" max="11522" width="28.5703125" style="478" customWidth="1"/>
    <col min="11523" max="11523" width="11.28515625" style="478" customWidth="1"/>
    <col min="11524" max="11524" width="13.140625" style="478" customWidth="1"/>
    <col min="11525" max="11525" width="28.28515625" style="478" customWidth="1"/>
    <col min="11526" max="11526" width="7.28515625" style="478" customWidth="1"/>
    <col min="11527" max="11527" width="22.7109375" style="478" customWidth="1"/>
    <col min="11528" max="11528" width="16.85546875" style="478" customWidth="1"/>
    <col min="11529" max="11529" width="15" style="478" customWidth="1"/>
    <col min="11530" max="11530" width="47.42578125" style="478" customWidth="1"/>
    <col min="11531" max="11776" width="9.140625" style="478"/>
    <col min="11777" max="11777" width="3.85546875" style="478" customWidth="1"/>
    <col min="11778" max="11778" width="28.5703125" style="478" customWidth="1"/>
    <col min="11779" max="11779" width="11.28515625" style="478" customWidth="1"/>
    <col min="11780" max="11780" width="13.140625" style="478" customWidth="1"/>
    <col min="11781" max="11781" width="28.28515625" style="478" customWidth="1"/>
    <col min="11782" max="11782" width="7.28515625" style="478" customWidth="1"/>
    <col min="11783" max="11783" width="22.7109375" style="478" customWidth="1"/>
    <col min="11784" max="11784" width="16.85546875" style="478" customWidth="1"/>
    <col min="11785" max="11785" width="15" style="478" customWidth="1"/>
    <col min="11786" max="11786" width="47.42578125" style="478" customWidth="1"/>
    <col min="11787" max="12032" width="9.140625" style="478"/>
    <col min="12033" max="12033" width="3.85546875" style="478" customWidth="1"/>
    <col min="12034" max="12034" width="28.5703125" style="478" customWidth="1"/>
    <col min="12035" max="12035" width="11.28515625" style="478" customWidth="1"/>
    <col min="12036" max="12036" width="13.140625" style="478" customWidth="1"/>
    <col min="12037" max="12037" width="28.28515625" style="478" customWidth="1"/>
    <col min="12038" max="12038" width="7.28515625" style="478" customWidth="1"/>
    <col min="12039" max="12039" width="22.7109375" style="478" customWidth="1"/>
    <col min="12040" max="12040" width="16.85546875" style="478" customWidth="1"/>
    <col min="12041" max="12041" width="15" style="478" customWidth="1"/>
    <col min="12042" max="12042" width="47.42578125" style="478" customWidth="1"/>
    <col min="12043" max="12288" width="9.140625" style="478"/>
    <col min="12289" max="12289" width="3.85546875" style="478" customWidth="1"/>
    <col min="12290" max="12290" width="28.5703125" style="478" customWidth="1"/>
    <col min="12291" max="12291" width="11.28515625" style="478" customWidth="1"/>
    <col min="12292" max="12292" width="13.140625" style="478" customWidth="1"/>
    <col min="12293" max="12293" width="28.28515625" style="478" customWidth="1"/>
    <col min="12294" max="12294" width="7.28515625" style="478" customWidth="1"/>
    <col min="12295" max="12295" width="22.7109375" style="478" customWidth="1"/>
    <col min="12296" max="12296" width="16.85546875" style="478" customWidth="1"/>
    <col min="12297" max="12297" width="15" style="478" customWidth="1"/>
    <col min="12298" max="12298" width="47.42578125" style="478" customWidth="1"/>
    <col min="12299" max="12544" width="9.140625" style="478"/>
    <col min="12545" max="12545" width="3.85546875" style="478" customWidth="1"/>
    <col min="12546" max="12546" width="28.5703125" style="478" customWidth="1"/>
    <col min="12547" max="12547" width="11.28515625" style="478" customWidth="1"/>
    <col min="12548" max="12548" width="13.140625" style="478" customWidth="1"/>
    <col min="12549" max="12549" width="28.28515625" style="478" customWidth="1"/>
    <col min="12550" max="12550" width="7.28515625" style="478" customWidth="1"/>
    <col min="12551" max="12551" width="22.7109375" style="478" customWidth="1"/>
    <col min="12552" max="12552" width="16.85546875" style="478" customWidth="1"/>
    <col min="12553" max="12553" width="15" style="478" customWidth="1"/>
    <col min="12554" max="12554" width="47.42578125" style="478" customWidth="1"/>
    <col min="12555" max="12800" width="9.140625" style="478"/>
    <col min="12801" max="12801" width="3.85546875" style="478" customWidth="1"/>
    <col min="12802" max="12802" width="28.5703125" style="478" customWidth="1"/>
    <col min="12803" max="12803" width="11.28515625" style="478" customWidth="1"/>
    <col min="12804" max="12804" width="13.140625" style="478" customWidth="1"/>
    <col min="12805" max="12805" width="28.28515625" style="478" customWidth="1"/>
    <col min="12806" max="12806" width="7.28515625" style="478" customWidth="1"/>
    <col min="12807" max="12807" width="22.7109375" style="478" customWidth="1"/>
    <col min="12808" max="12808" width="16.85546875" style="478" customWidth="1"/>
    <col min="12809" max="12809" width="15" style="478" customWidth="1"/>
    <col min="12810" max="12810" width="47.42578125" style="478" customWidth="1"/>
    <col min="12811" max="13056" width="9.140625" style="478"/>
    <col min="13057" max="13057" width="3.85546875" style="478" customWidth="1"/>
    <col min="13058" max="13058" width="28.5703125" style="478" customWidth="1"/>
    <col min="13059" max="13059" width="11.28515625" style="478" customWidth="1"/>
    <col min="13060" max="13060" width="13.140625" style="478" customWidth="1"/>
    <col min="13061" max="13061" width="28.28515625" style="478" customWidth="1"/>
    <col min="13062" max="13062" width="7.28515625" style="478" customWidth="1"/>
    <col min="13063" max="13063" width="22.7109375" style="478" customWidth="1"/>
    <col min="13064" max="13064" width="16.85546875" style="478" customWidth="1"/>
    <col min="13065" max="13065" width="15" style="478" customWidth="1"/>
    <col min="13066" max="13066" width="47.42578125" style="478" customWidth="1"/>
    <col min="13067" max="13312" width="9.140625" style="478"/>
    <col min="13313" max="13313" width="3.85546875" style="478" customWidth="1"/>
    <col min="13314" max="13314" width="28.5703125" style="478" customWidth="1"/>
    <col min="13315" max="13315" width="11.28515625" style="478" customWidth="1"/>
    <col min="13316" max="13316" width="13.140625" style="478" customWidth="1"/>
    <col min="13317" max="13317" width="28.28515625" style="478" customWidth="1"/>
    <col min="13318" max="13318" width="7.28515625" style="478" customWidth="1"/>
    <col min="13319" max="13319" width="22.7109375" style="478" customWidth="1"/>
    <col min="13320" max="13320" width="16.85546875" style="478" customWidth="1"/>
    <col min="13321" max="13321" width="15" style="478" customWidth="1"/>
    <col min="13322" max="13322" width="47.42578125" style="478" customWidth="1"/>
    <col min="13323" max="13568" width="9.140625" style="478"/>
    <col min="13569" max="13569" width="3.85546875" style="478" customWidth="1"/>
    <col min="13570" max="13570" width="28.5703125" style="478" customWidth="1"/>
    <col min="13571" max="13571" width="11.28515625" style="478" customWidth="1"/>
    <col min="13572" max="13572" width="13.140625" style="478" customWidth="1"/>
    <col min="13573" max="13573" width="28.28515625" style="478" customWidth="1"/>
    <col min="13574" max="13574" width="7.28515625" style="478" customWidth="1"/>
    <col min="13575" max="13575" width="22.7109375" style="478" customWidth="1"/>
    <col min="13576" max="13576" width="16.85546875" style="478" customWidth="1"/>
    <col min="13577" max="13577" width="15" style="478" customWidth="1"/>
    <col min="13578" max="13578" width="47.42578125" style="478" customWidth="1"/>
    <col min="13579" max="13824" width="9.140625" style="478"/>
    <col min="13825" max="13825" width="3.85546875" style="478" customWidth="1"/>
    <col min="13826" max="13826" width="28.5703125" style="478" customWidth="1"/>
    <col min="13827" max="13827" width="11.28515625" style="478" customWidth="1"/>
    <col min="13828" max="13828" width="13.140625" style="478" customWidth="1"/>
    <col min="13829" max="13829" width="28.28515625" style="478" customWidth="1"/>
    <col min="13830" max="13830" width="7.28515625" style="478" customWidth="1"/>
    <col min="13831" max="13831" width="22.7109375" style="478" customWidth="1"/>
    <col min="13832" max="13832" width="16.85546875" style="478" customWidth="1"/>
    <col min="13833" max="13833" width="15" style="478" customWidth="1"/>
    <col min="13834" max="13834" width="47.42578125" style="478" customWidth="1"/>
    <col min="13835" max="14080" width="9.140625" style="478"/>
    <col min="14081" max="14081" width="3.85546875" style="478" customWidth="1"/>
    <col min="14082" max="14082" width="28.5703125" style="478" customWidth="1"/>
    <col min="14083" max="14083" width="11.28515625" style="478" customWidth="1"/>
    <col min="14084" max="14084" width="13.140625" style="478" customWidth="1"/>
    <col min="14085" max="14085" width="28.28515625" style="478" customWidth="1"/>
    <col min="14086" max="14086" width="7.28515625" style="478" customWidth="1"/>
    <col min="14087" max="14087" width="22.7109375" style="478" customWidth="1"/>
    <col min="14088" max="14088" width="16.85546875" style="478" customWidth="1"/>
    <col min="14089" max="14089" width="15" style="478" customWidth="1"/>
    <col min="14090" max="14090" width="47.42578125" style="478" customWidth="1"/>
    <col min="14091" max="14336" width="9.140625" style="478"/>
    <col min="14337" max="14337" width="3.85546875" style="478" customWidth="1"/>
    <col min="14338" max="14338" width="28.5703125" style="478" customWidth="1"/>
    <col min="14339" max="14339" width="11.28515625" style="478" customWidth="1"/>
    <col min="14340" max="14340" width="13.140625" style="478" customWidth="1"/>
    <col min="14341" max="14341" width="28.28515625" style="478" customWidth="1"/>
    <col min="14342" max="14342" width="7.28515625" style="478" customWidth="1"/>
    <col min="14343" max="14343" width="22.7109375" style="478" customWidth="1"/>
    <col min="14344" max="14344" width="16.85546875" style="478" customWidth="1"/>
    <col min="14345" max="14345" width="15" style="478" customWidth="1"/>
    <col min="14346" max="14346" width="47.42578125" style="478" customWidth="1"/>
    <col min="14347" max="14592" width="9.140625" style="478"/>
    <col min="14593" max="14593" width="3.85546875" style="478" customWidth="1"/>
    <col min="14594" max="14594" width="28.5703125" style="478" customWidth="1"/>
    <col min="14595" max="14595" width="11.28515625" style="478" customWidth="1"/>
    <col min="14596" max="14596" width="13.140625" style="478" customWidth="1"/>
    <col min="14597" max="14597" width="28.28515625" style="478" customWidth="1"/>
    <col min="14598" max="14598" width="7.28515625" style="478" customWidth="1"/>
    <col min="14599" max="14599" width="22.7109375" style="478" customWidth="1"/>
    <col min="14600" max="14600" width="16.85546875" style="478" customWidth="1"/>
    <col min="14601" max="14601" width="15" style="478" customWidth="1"/>
    <col min="14602" max="14602" width="47.42578125" style="478" customWidth="1"/>
    <col min="14603" max="14848" width="9.140625" style="478"/>
    <col min="14849" max="14849" width="3.85546875" style="478" customWidth="1"/>
    <col min="14850" max="14850" width="28.5703125" style="478" customWidth="1"/>
    <col min="14851" max="14851" width="11.28515625" style="478" customWidth="1"/>
    <col min="14852" max="14852" width="13.140625" style="478" customWidth="1"/>
    <col min="14853" max="14853" width="28.28515625" style="478" customWidth="1"/>
    <col min="14854" max="14854" width="7.28515625" style="478" customWidth="1"/>
    <col min="14855" max="14855" width="22.7109375" style="478" customWidth="1"/>
    <col min="14856" max="14856" width="16.85546875" style="478" customWidth="1"/>
    <col min="14857" max="14857" width="15" style="478" customWidth="1"/>
    <col min="14858" max="14858" width="47.42578125" style="478" customWidth="1"/>
    <col min="14859" max="15104" width="9.140625" style="478"/>
    <col min="15105" max="15105" width="3.85546875" style="478" customWidth="1"/>
    <col min="15106" max="15106" width="28.5703125" style="478" customWidth="1"/>
    <col min="15107" max="15107" width="11.28515625" style="478" customWidth="1"/>
    <col min="15108" max="15108" width="13.140625" style="478" customWidth="1"/>
    <col min="15109" max="15109" width="28.28515625" style="478" customWidth="1"/>
    <col min="15110" max="15110" width="7.28515625" style="478" customWidth="1"/>
    <col min="15111" max="15111" width="22.7109375" style="478" customWidth="1"/>
    <col min="15112" max="15112" width="16.85546875" style="478" customWidth="1"/>
    <col min="15113" max="15113" width="15" style="478" customWidth="1"/>
    <col min="15114" max="15114" width="47.42578125" style="478" customWidth="1"/>
    <col min="15115" max="15360" width="9.140625" style="478"/>
    <col min="15361" max="15361" width="3.85546875" style="478" customWidth="1"/>
    <col min="15362" max="15362" width="28.5703125" style="478" customWidth="1"/>
    <col min="15363" max="15363" width="11.28515625" style="478" customWidth="1"/>
    <col min="15364" max="15364" width="13.140625" style="478" customWidth="1"/>
    <col min="15365" max="15365" width="28.28515625" style="478" customWidth="1"/>
    <col min="15366" max="15366" width="7.28515625" style="478" customWidth="1"/>
    <col min="15367" max="15367" width="22.7109375" style="478" customWidth="1"/>
    <col min="15368" max="15368" width="16.85546875" style="478" customWidth="1"/>
    <col min="15369" max="15369" width="15" style="478" customWidth="1"/>
    <col min="15370" max="15370" width="47.42578125" style="478" customWidth="1"/>
    <col min="15371" max="15616" width="9.140625" style="478"/>
    <col min="15617" max="15617" width="3.85546875" style="478" customWidth="1"/>
    <col min="15618" max="15618" width="28.5703125" style="478" customWidth="1"/>
    <col min="15619" max="15619" width="11.28515625" style="478" customWidth="1"/>
    <col min="15620" max="15620" width="13.140625" style="478" customWidth="1"/>
    <col min="15621" max="15621" width="28.28515625" style="478" customWidth="1"/>
    <col min="15622" max="15622" width="7.28515625" style="478" customWidth="1"/>
    <col min="15623" max="15623" width="22.7109375" style="478" customWidth="1"/>
    <col min="15624" max="15624" width="16.85546875" style="478" customWidth="1"/>
    <col min="15625" max="15625" width="15" style="478" customWidth="1"/>
    <col min="15626" max="15626" width="47.42578125" style="478" customWidth="1"/>
    <col min="15627" max="15872" width="9.140625" style="478"/>
    <col min="15873" max="15873" width="3.85546875" style="478" customWidth="1"/>
    <col min="15874" max="15874" width="28.5703125" style="478" customWidth="1"/>
    <col min="15875" max="15875" width="11.28515625" style="478" customWidth="1"/>
    <col min="15876" max="15876" width="13.140625" style="478" customWidth="1"/>
    <col min="15877" max="15877" width="28.28515625" style="478" customWidth="1"/>
    <col min="15878" max="15878" width="7.28515625" style="478" customWidth="1"/>
    <col min="15879" max="15879" width="22.7109375" style="478" customWidth="1"/>
    <col min="15880" max="15880" width="16.85546875" style="478" customWidth="1"/>
    <col min="15881" max="15881" width="15" style="478" customWidth="1"/>
    <col min="15882" max="15882" width="47.42578125" style="478" customWidth="1"/>
    <col min="15883" max="16128" width="9.140625" style="478"/>
    <col min="16129" max="16129" width="3.85546875" style="478" customWidth="1"/>
    <col min="16130" max="16130" width="28.5703125" style="478" customWidth="1"/>
    <col min="16131" max="16131" width="11.28515625" style="478" customWidth="1"/>
    <col min="16132" max="16132" width="13.140625" style="478" customWidth="1"/>
    <col min="16133" max="16133" width="28.28515625" style="478" customWidth="1"/>
    <col min="16134" max="16134" width="7.28515625" style="478" customWidth="1"/>
    <col min="16135" max="16135" width="22.7109375" style="478" customWidth="1"/>
    <col min="16136" max="16136" width="16.85546875" style="478" customWidth="1"/>
    <col min="16137" max="16137" width="15" style="478" customWidth="1"/>
    <col min="16138" max="16138" width="47.42578125" style="478" customWidth="1"/>
    <col min="16139" max="16384" width="9.140625" style="478"/>
  </cols>
  <sheetData>
    <row r="1" spans="1:9" x14ac:dyDescent="0.25">
      <c r="C1" s="479"/>
      <c r="G1" s="482"/>
      <c r="H1" s="483"/>
    </row>
    <row r="2" spans="1:9" x14ac:dyDescent="0.25">
      <c r="C2" s="479"/>
      <c r="G2" s="482"/>
      <c r="H2" s="485"/>
    </row>
    <row r="3" spans="1:9" ht="15.75" x14ac:dyDescent="0.25">
      <c r="C3" s="479"/>
      <c r="G3" s="486"/>
      <c r="H3" s="485"/>
    </row>
    <row r="4" spans="1:9" s="488" customFormat="1" ht="14.25" x14ac:dyDescent="0.2">
      <c r="A4" s="487"/>
      <c r="B4" s="487"/>
      <c r="C4" s="487"/>
      <c r="D4" s="487"/>
      <c r="E4" s="487"/>
      <c r="F4" s="487"/>
      <c r="G4" s="487"/>
      <c r="H4" s="487"/>
    </row>
    <row r="5" spans="1:9" x14ac:dyDescent="0.2">
      <c r="D5" s="489"/>
      <c r="F5" s="490"/>
      <c r="G5" s="525"/>
    </row>
    <row r="6" spans="1:9" x14ac:dyDescent="0.2">
      <c r="A6" s="704" t="s">
        <v>265</v>
      </c>
      <c r="B6" s="704"/>
      <c r="C6" s="704"/>
      <c r="D6" s="704"/>
      <c r="E6" s="704"/>
      <c r="F6" s="704"/>
      <c r="G6" s="704"/>
      <c r="H6" s="704"/>
    </row>
    <row r="7" spans="1:9" ht="102.75" customHeight="1" x14ac:dyDescent="0.2">
      <c r="A7" s="778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«Нежилое здание»,   расположенного  по    адресу: 
г. Москва, Мичуринский проспект, вл.9, корп.5.</v>
      </c>
      <c r="B7" s="778"/>
      <c r="C7" s="778"/>
      <c r="D7" s="778"/>
      <c r="E7" s="778"/>
      <c r="F7" s="778"/>
      <c r="G7" s="778"/>
      <c r="H7" s="778"/>
    </row>
    <row r="8" spans="1:9" ht="15.75" x14ac:dyDescent="0.2">
      <c r="A8" s="778"/>
      <c r="B8" s="778"/>
      <c r="C8" s="778"/>
      <c r="D8" s="778"/>
      <c r="E8" s="778"/>
      <c r="F8" s="778"/>
      <c r="G8" s="778"/>
      <c r="H8" s="778"/>
    </row>
    <row r="9" spans="1:9" ht="15.75" x14ac:dyDescent="0.2">
      <c r="A9" s="778" t="s">
        <v>266</v>
      </c>
      <c r="B9" s="778"/>
      <c r="C9" s="778"/>
      <c r="D9" s="778"/>
      <c r="E9" s="778"/>
      <c r="F9" s="778"/>
      <c r="G9" s="778"/>
      <c r="H9" s="778"/>
    </row>
    <row r="10" spans="1:9" x14ac:dyDescent="0.2">
      <c r="A10" s="779" t="s">
        <v>267</v>
      </c>
      <c r="B10" s="779"/>
      <c r="C10" s="779"/>
      <c r="D10" s="779"/>
      <c r="E10" s="779"/>
      <c r="F10" s="779"/>
      <c r="G10" s="779"/>
      <c r="H10" s="779"/>
    </row>
    <row r="11" spans="1:9" x14ac:dyDescent="0.2">
      <c r="A11" s="704" t="s">
        <v>268</v>
      </c>
      <c r="B11" s="704"/>
      <c r="C11" s="704"/>
      <c r="D11" s="704"/>
      <c r="E11" s="704"/>
      <c r="F11" s="704"/>
      <c r="G11" s="704"/>
      <c r="H11" s="704"/>
    </row>
    <row r="12" spans="1:9" ht="15.75" thickBot="1" x14ac:dyDescent="0.25">
      <c r="B12" s="492"/>
      <c r="C12" s="492"/>
      <c r="D12" s="478"/>
      <c r="I12" s="493"/>
    </row>
    <row r="13" spans="1:9" x14ac:dyDescent="0.2">
      <c r="A13" s="769">
        <v>1</v>
      </c>
      <c r="B13" s="772" t="s">
        <v>269</v>
      </c>
      <c r="C13" s="765">
        <v>1</v>
      </c>
      <c r="D13" s="774">
        <f>ROUND(C15+C13*C16,2)</f>
        <v>86460</v>
      </c>
      <c r="E13" s="776" t="s">
        <v>270</v>
      </c>
      <c r="F13" s="765">
        <v>1.2</v>
      </c>
      <c r="G13" s="765" t="str">
        <f>CONCATENATE(D13," х ",F13," х ",F15)</f>
        <v>86460 х 1,2 х 0,3</v>
      </c>
      <c r="H13" s="767">
        <f>ROUND(D13*F13*F15,2)</f>
        <v>31125.599999999999</v>
      </c>
    </row>
    <row r="14" spans="1:9" x14ac:dyDescent="0.2">
      <c r="A14" s="770"/>
      <c r="B14" s="773"/>
      <c r="C14" s="766"/>
      <c r="D14" s="775"/>
      <c r="E14" s="777"/>
      <c r="F14" s="766"/>
      <c r="G14" s="766"/>
      <c r="H14" s="768"/>
    </row>
    <row r="15" spans="1:9" ht="75" x14ac:dyDescent="0.2">
      <c r="A15" s="770"/>
      <c r="B15" s="494" t="s">
        <v>271</v>
      </c>
      <c r="C15" s="495">
        <v>86460</v>
      </c>
      <c r="D15" s="496"/>
      <c r="E15" s="497" t="s">
        <v>272</v>
      </c>
      <c r="F15" s="498">
        <v>0.3</v>
      </c>
      <c r="G15" s="499"/>
      <c r="H15" s="500"/>
    </row>
    <row r="16" spans="1:9" ht="15.75" thickBot="1" x14ac:dyDescent="0.25">
      <c r="A16" s="771"/>
      <c r="B16" s="501" t="s">
        <v>11</v>
      </c>
      <c r="C16" s="502"/>
      <c r="D16" s="502"/>
      <c r="E16" s="503"/>
      <c r="F16" s="504"/>
      <c r="G16" s="505"/>
      <c r="H16" s="506"/>
    </row>
    <row r="17" spans="1:9" x14ac:dyDescent="0.2">
      <c r="A17" s="769">
        <v>2</v>
      </c>
      <c r="B17" s="772" t="s">
        <v>273</v>
      </c>
      <c r="C17" s="765">
        <v>1</v>
      </c>
      <c r="D17" s="774">
        <f>ROUND(C19+C17*C20,2)</f>
        <v>30603</v>
      </c>
      <c r="E17" s="776" t="s">
        <v>270</v>
      </c>
      <c r="F17" s="765">
        <v>1.2</v>
      </c>
      <c r="G17" s="765" t="str">
        <f>CONCATENATE(D17," х ",F17)</f>
        <v>30603 х 1,2</v>
      </c>
      <c r="H17" s="767">
        <f>ROUND(D17*F17,2)</f>
        <v>36723.599999999999</v>
      </c>
    </row>
    <row r="18" spans="1:9" x14ac:dyDescent="0.2">
      <c r="A18" s="770"/>
      <c r="B18" s="773"/>
      <c r="C18" s="766"/>
      <c r="D18" s="775"/>
      <c r="E18" s="777"/>
      <c r="F18" s="766"/>
      <c r="G18" s="766"/>
      <c r="H18" s="768"/>
    </row>
    <row r="19" spans="1:9" ht="30" x14ac:dyDescent="0.2">
      <c r="A19" s="770"/>
      <c r="B19" s="494" t="s">
        <v>274</v>
      </c>
      <c r="C19" s="495">
        <v>25980</v>
      </c>
      <c r="D19" s="496"/>
      <c r="E19" s="497"/>
      <c r="F19" s="498"/>
      <c r="G19" s="499"/>
      <c r="H19" s="500"/>
    </row>
    <row r="20" spans="1:9" ht="15.75" thickBot="1" x14ac:dyDescent="0.25">
      <c r="A20" s="771"/>
      <c r="B20" s="501" t="s">
        <v>11</v>
      </c>
      <c r="C20" s="507">
        <v>4623</v>
      </c>
      <c r="D20" s="502"/>
      <c r="E20" s="503"/>
      <c r="F20" s="504"/>
      <c r="G20" s="505"/>
      <c r="H20" s="506"/>
    </row>
    <row r="21" spans="1:9" ht="15.75" thickBot="1" x14ac:dyDescent="0.25">
      <c r="A21" s="508"/>
      <c r="B21" s="509" t="s">
        <v>275</v>
      </c>
      <c r="C21" s="510"/>
      <c r="D21" s="510"/>
      <c r="E21" s="510"/>
      <c r="F21" s="510"/>
      <c r="G21" s="510"/>
      <c r="H21" s="511">
        <f>ROUND(H13+H17,2)</f>
        <v>67849.2</v>
      </c>
      <c r="I21" s="478"/>
    </row>
    <row r="22" spans="1:9" ht="30.75" hidden="1" thickBot="1" x14ac:dyDescent="0.25">
      <c r="A22" s="512"/>
      <c r="B22" s="764" t="s">
        <v>276</v>
      </c>
      <c r="C22" s="764"/>
      <c r="D22" s="764"/>
      <c r="E22" s="513" t="s">
        <v>277</v>
      </c>
      <c r="F22" s="514">
        <v>1</v>
      </c>
      <c r="G22" s="515" t="str">
        <f>CONCATENATE(H21," х ",F22)</f>
        <v>67849,2 х 1</v>
      </c>
      <c r="H22" s="516">
        <f>ROUND(H21*F22,2)</f>
        <v>67849.2</v>
      </c>
    </row>
    <row r="23" spans="1:9" ht="15.75" thickBot="1" x14ac:dyDescent="0.25">
      <c r="A23" s="512"/>
      <c r="B23" s="764" t="s">
        <v>278</v>
      </c>
      <c r="C23" s="764"/>
      <c r="D23" s="764"/>
      <c r="E23" s="517" t="s">
        <v>279</v>
      </c>
      <c r="F23" s="517">
        <v>1.19</v>
      </c>
      <c r="G23" s="518" t="str">
        <f>CONCATENATE(H22," / ",F23)</f>
        <v>67849,2 / 1,19</v>
      </c>
      <c r="H23" s="511">
        <f>ROUND(H22/F23,2)</f>
        <v>57016.13</v>
      </c>
    </row>
    <row r="24" spans="1:9" x14ac:dyDescent="0.2">
      <c r="A24" s="519"/>
      <c r="B24" s="520"/>
      <c r="C24" s="520"/>
      <c r="D24" s="520"/>
      <c r="E24" s="521"/>
      <c r="F24" s="522"/>
      <c r="G24" s="523"/>
      <c r="H24" s="524"/>
    </row>
    <row r="25" spans="1:9" x14ac:dyDescent="0.2">
      <c r="A25" s="519"/>
      <c r="B25" s="520"/>
      <c r="C25" s="520"/>
      <c r="D25" s="520"/>
      <c r="E25" s="521"/>
      <c r="F25" s="522"/>
      <c r="G25" s="523"/>
      <c r="H25" s="524"/>
    </row>
    <row r="27" spans="1:9" x14ac:dyDescent="0.2">
      <c r="B27" s="478">
        <f>Т.с.!B86</f>
        <v>0</v>
      </c>
    </row>
    <row r="31" spans="1:9" x14ac:dyDescent="0.2">
      <c r="B31" s="478">
        <f>Т.с.!B89</f>
        <v>0</v>
      </c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P39"/>
  <sheetViews>
    <sheetView tabSelected="1" view="pageBreakPreview" zoomScale="85" zoomScaleNormal="100" zoomScaleSheetLayoutView="85" workbookViewId="0">
      <selection activeCell="E17" sqref="E17"/>
    </sheetView>
  </sheetViews>
  <sheetFormatPr defaultRowHeight="12.75" x14ac:dyDescent="0.2"/>
  <cols>
    <col min="1" max="1" width="4.140625" style="226" customWidth="1"/>
    <col min="2" max="2" width="24.85546875" style="71" customWidth="1"/>
    <col min="3" max="3" width="12.5703125" style="71" customWidth="1"/>
    <col min="4" max="4" width="25.85546875" style="71" customWidth="1"/>
    <col min="5" max="5" width="9.42578125" style="71" customWidth="1"/>
    <col min="6" max="6" width="21.7109375" style="71" customWidth="1"/>
    <col min="7" max="7" width="12.5703125" style="71" customWidth="1"/>
    <col min="8" max="8" width="16.5703125" style="71" customWidth="1"/>
    <col min="9" max="11" width="11" style="71" customWidth="1"/>
    <col min="12" max="12" width="11" style="230" customWidth="1"/>
    <col min="13" max="13" width="11" style="71" customWidth="1"/>
    <col min="14" max="14" width="10.28515625" style="71" customWidth="1"/>
    <col min="15" max="250" width="9.140625" style="71"/>
    <col min="251" max="251" width="4.140625" style="71" customWidth="1"/>
    <col min="252" max="252" width="29" style="71" customWidth="1"/>
    <col min="253" max="253" width="15.85546875" style="71" customWidth="1"/>
    <col min="254" max="254" width="25.85546875" style="71" customWidth="1"/>
    <col min="255" max="255" width="9.42578125" style="71" customWidth="1"/>
    <col min="256" max="256" width="18.28515625" style="71" customWidth="1"/>
    <col min="257" max="257" width="16.28515625" style="71" customWidth="1"/>
    <col min="258" max="258" width="10.7109375" style="71" customWidth="1"/>
    <col min="259" max="261" width="0" style="71" hidden="1" customWidth="1"/>
    <col min="262" max="262" width="16.7109375" style="71" customWidth="1"/>
    <col min="263" max="263" width="11.42578125" style="71" customWidth="1"/>
    <col min="264" max="506" width="9.140625" style="71"/>
    <col min="507" max="507" width="4.140625" style="71" customWidth="1"/>
    <col min="508" max="508" width="29" style="71" customWidth="1"/>
    <col min="509" max="509" width="15.85546875" style="71" customWidth="1"/>
    <col min="510" max="510" width="25.85546875" style="71" customWidth="1"/>
    <col min="511" max="511" width="9.42578125" style="71" customWidth="1"/>
    <col min="512" max="512" width="18.28515625" style="71" customWidth="1"/>
    <col min="513" max="513" width="16.28515625" style="71" customWidth="1"/>
    <col min="514" max="514" width="10.7109375" style="71" customWidth="1"/>
    <col min="515" max="517" width="0" style="71" hidden="1" customWidth="1"/>
    <col min="518" max="518" width="16.7109375" style="71" customWidth="1"/>
    <col min="519" max="519" width="11.42578125" style="71" customWidth="1"/>
    <col min="520" max="762" width="9.140625" style="71"/>
    <col min="763" max="763" width="4.140625" style="71" customWidth="1"/>
    <col min="764" max="764" width="29" style="71" customWidth="1"/>
    <col min="765" max="765" width="15.85546875" style="71" customWidth="1"/>
    <col min="766" max="766" width="25.85546875" style="71" customWidth="1"/>
    <col min="767" max="767" width="9.42578125" style="71" customWidth="1"/>
    <col min="768" max="768" width="18.28515625" style="71" customWidth="1"/>
    <col min="769" max="769" width="16.28515625" style="71" customWidth="1"/>
    <col min="770" max="770" width="10.7109375" style="71" customWidth="1"/>
    <col min="771" max="773" width="0" style="71" hidden="1" customWidth="1"/>
    <col min="774" max="774" width="16.7109375" style="71" customWidth="1"/>
    <col min="775" max="775" width="11.42578125" style="71" customWidth="1"/>
    <col min="776" max="1018" width="9.140625" style="71"/>
    <col min="1019" max="1019" width="4.140625" style="71" customWidth="1"/>
    <col min="1020" max="1020" width="29" style="71" customWidth="1"/>
    <col min="1021" max="1021" width="15.85546875" style="71" customWidth="1"/>
    <col min="1022" max="1022" width="25.85546875" style="71" customWidth="1"/>
    <col min="1023" max="1023" width="9.42578125" style="71" customWidth="1"/>
    <col min="1024" max="1024" width="18.28515625" style="71" customWidth="1"/>
    <col min="1025" max="1025" width="16.28515625" style="71" customWidth="1"/>
    <col min="1026" max="1026" width="10.7109375" style="71" customWidth="1"/>
    <col min="1027" max="1029" width="0" style="71" hidden="1" customWidth="1"/>
    <col min="1030" max="1030" width="16.7109375" style="71" customWidth="1"/>
    <col min="1031" max="1031" width="11.42578125" style="71" customWidth="1"/>
    <col min="1032" max="1274" width="9.140625" style="71"/>
    <col min="1275" max="1275" width="4.140625" style="71" customWidth="1"/>
    <col min="1276" max="1276" width="29" style="71" customWidth="1"/>
    <col min="1277" max="1277" width="15.85546875" style="71" customWidth="1"/>
    <col min="1278" max="1278" width="25.85546875" style="71" customWidth="1"/>
    <col min="1279" max="1279" width="9.42578125" style="71" customWidth="1"/>
    <col min="1280" max="1280" width="18.28515625" style="71" customWidth="1"/>
    <col min="1281" max="1281" width="16.28515625" style="71" customWidth="1"/>
    <col min="1282" max="1282" width="10.7109375" style="71" customWidth="1"/>
    <col min="1283" max="1285" width="0" style="71" hidden="1" customWidth="1"/>
    <col min="1286" max="1286" width="16.7109375" style="71" customWidth="1"/>
    <col min="1287" max="1287" width="11.42578125" style="71" customWidth="1"/>
    <col min="1288" max="1530" width="9.140625" style="71"/>
    <col min="1531" max="1531" width="4.140625" style="71" customWidth="1"/>
    <col min="1532" max="1532" width="29" style="71" customWidth="1"/>
    <col min="1533" max="1533" width="15.85546875" style="71" customWidth="1"/>
    <col min="1534" max="1534" width="25.85546875" style="71" customWidth="1"/>
    <col min="1535" max="1535" width="9.42578125" style="71" customWidth="1"/>
    <col min="1536" max="1536" width="18.28515625" style="71" customWidth="1"/>
    <col min="1537" max="1537" width="16.28515625" style="71" customWidth="1"/>
    <col min="1538" max="1538" width="10.7109375" style="71" customWidth="1"/>
    <col min="1539" max="1541" width="0" style="71" hidden="1" customWidth="1"/>
    <col min="1542" max="1542" width="16.7109375" style="71" customWidth="1"/>
    <col min="1543" max="1543" width="11.42578125" style="71" customWidth="1"/>
    <col min="1544" max="1786" width="9.140625" style="71"/>
    <col min="1787" max="1787" width="4.140625" style="71" customWidth="1"/>
    <col min="1788" max="1788" width="29" style="71" customWidth="1"/>
    <col min="1789" max="1789" width="15.85546875" style="71" customWidth="1"/>
    <col min="1790" max="1790" width="25.85546875" style="71" customWidth="1"/>
    <col min="1791" max="1791" width="9.42578125" style="71" customWidth="1"/>
    <col min="1792" max="1792" width="18.28515625" style="71" customWidth="1"/>
    <col min="1793" max="1793" width="16.28515625" style="71" customWidth="1"/>
    <col min="1794" max="1794" width="10.7109375" style="71" customWidth="1"/>
    <col min="1795" max="1797" width="0" style="71" hidden="1" customWidth="1"/>
    <col min="1798" max="1798" width="16.7109375" style="71" customWidth="1"/>
    <col min="1799" max="1799" width="11.42578125" style="71" customWidth="1"/>
    <col min="1800" max="2042" width="9.140625" style="71"/>
    <col min="2043" max="2043" width="4.140625" style="71" customWidth="1"/>
    <col min="2044" max="2044" width="29" style="71" customWidth="1"/>
    <col min="2045" max="2045" width="15.85546875" style="71" customWidth="1"/>
    <col min="2046" max="2046" width="25.85546875" style="71" customWidth="1"/>
    <col min="2047" max="2047" width="9.42578125" style="71" customWidth="1"/>
    <col min="2048" max="2048" width="18.28515625" style="71" customWidth="1"/>
    <col min="2049" max="2049" width="16.28515625" style="71" customWidth="1"/>
    <col min="2050" max="2050" width="10.7109375" style="71" customWidth="1"/>
    <col min="2051" max="2053" width="0" style="71" hidden="1" customWidth="1"/>
    <col min="2054" max="2054" width="16.7109375" style="71" customWidth="1"/>
    <col min="2055" max="2055" width="11.42578125" style="71" customWidth="1"/>
    <col min="2056" max="2298" width="9.140625" style="71"/>
    <col min="2299" max="2299" width="4.140625" style="71" customWidth="1"/>
    <col min="2300" max="2300" width="29" style="71" customWidth="1"/>
    <col min="2301" max="2301" width="15.85546875" style="71" customWidth="1"/>
    <col min="2302" max="2302" width="25.85546875" style="71" customWidth="1"/>
    <col min="2303" max="2303" width="9.42578125" style="71" customWidth="1"/>
    <col min="2304" max="2304" width="18.28515625" style="71" customWidth="1"/>
    <col min="2305" max="2305" width="16.28515625" style="71" customWidth="1"/>
    <col min="2306" max="2306" width="10.7109375" style="71" customWidth="1"/>
    <col min="2307" max="2309" width="0" style="71" hidden="1" customWidth="1"/>
    <col min="2310" max="2310" width="16.7109375" style="71" customWidth="1"/>
    <col min="2311" max="2311" width="11.42578125" style="71" customWidth="1"/>
    <col min="2312" max="2554" width="9.140625" style="71"/>
    <col min="2555" max="2555" width="4.140625" style="71" customWidth="1"/>
    <col min="2556" max="2556" width="29" style="71" customWidth="1"/>
    <col min="2557" max="2557" width="15.85546875" style="71" customWidth="1"/>
    <col min="2558" max="2558" width="25.85546875" style="71" customWidth="1"/>
    <col min="2559" max="2559" width="9.42578125" style="71" customWidth="1"/>
    <col min="2560" max="2560" width="18.28515625" style="71" customWidth="1"/>
    <col min="2561" max="2561" width="16.28515625" style="71" customWidth="1"/>
    <col min="2562" max="2562" width="10.7109375" style="71" customWidth="1"/>
    <col min="2563" max="2565" width="0" style="71" hidden="1" customWidth="1"/>
    <col min="2566" max="2566" width="16.7109375" style="71" customWidth="1"/>
    <col min="2567" max="2567" width="11.42578125" style="71" customWidth="1"/>
    <col min="2568" max="2810" width="9.140625" style="71"/>
    <col min="2811" max="2811" width="4.140625" style="71" customWidth="1"/>
    <col min="2812" max="2812" width="29" style="71" customWidth="1"/>
    <col min="2813" max="2813" width="15.85546875" style="71" customWidth="1"/>
    <col min="2814" max="2814" width="25.85546875" style="71" customWidth="1"/>
    <col min="2815" max="2815" width="9.42578125" style="71" customWidth="1"/>
    <col min="2816" max="2816" width="18.28515625" style="71" customWidth="1"/>
    <col min="2817" max="2817" width="16.28515625" style="71" customWidth="1"/>
    <col min="2818" max="2818" width="10.7109375" style="71" customWidth="1"/>
    <col min="2819" max="2821" width="0" style="71" hidden="1" customWidth="1"/>
    <col min="2822" max="2822" width="16.7109375" style="71" customWidth="1"/>
    <col min="2823" max="2823" width="11.42578125" style="71" customWidth="1"/>
    <col min="2824" max="3066" width="9.140625" style="71"/>
    <col min="3067" max="3067" width="4.140625" style="71" customWidth="1"/>
    <col min="3068" max="3068" width="29" style="71" customWidth="1"/>
    <col min="3069" max="3069" width="15.85546875" style="71" customWidth="1"/>
    <col min="3070" max="3070" width="25.85546875" style="71" customWidth="1"/>
    <col min="3071" max="3071" width="9.42578125" style="71" customWidth="1"/>
    <col min="3072" max="3072" width="18.28515625" style="71" customWidth="1"/>
    <col min="3073" max="3073" width="16.28515625" style="71" customWidth="1"/>
    <col min="3074" max="3074" width="10.7109375" style="71" customWidth="1"/>
    <col min="3075" max="3077" width="0" style="71" hidden="1" customWidth="1"/>
    <col min="3078" max="3078" width="16.7109375" style="71" customWidth="1"/>
    <col min="3079" max="3079" width="11.42578125" style="71" customWidth="1"/>
    <col min="3080" max="3322" width="9.140625" style="71"/>
    <col min="3323" max="3323" width="4.140625" style="71" customWidth="1"/>
    <col min="3324" max="3324" width="29" style="71" customWidth="1"/>
    <col min="3325" max="3325" width="15.85546875" style="71" customWidth="1"/>
    <col min="3326" max="3326" width="25.85546875" style="71" customWidth="1"/>
    <col min="3327" max="3327" width="9.42578125" style="71" customWidth="1"/>
    <col min="3328" max="3328" width="18.28515625" style="71" customWidth="1"/>
    <col min="3329" max="3329" width="16.28515625" style="71" customWidth="1"/>
    <col min="3330" max="3330" width="10.7109375" style="71" customWidth="1"/>
    <col min="3331" max="3333" width="0" style="71" hidden="1" customWidth="1"/>
    <col min="3334" max="3334" width="16.7109375" style="71" customWidth="1"/>
    <col min="3335" max="3335" width="11.42578125" style="71" customWidth="1"/>
    <col min="3336" max="3578" width="9.140625" style="71"/>
    <col min="3579" max="3579" width="4.140625" style="71" customWidth="1"/>
    <col min="3580" max="3580" width="29" style="71" customWidth="1"/>
    <col min="3581" max="3581" width="15.85546875" style="71" customWidth="1"/>
    <col min="3582" max="3582" width="25.85546875" style="71" customWidth="1"/>
    <col min="3583" max="3583" width="9.42578125" style="71" customWidth="1"/>
    <col min="3584" max="3584" width="18.28515625" style="71" customWidth="1"/>
    <col min="3585" max="3585" width="16.28515625" style="71" customWidth="1"/>
    <col min="3586" max="3586" width="10.7109375" style="71" customWidth="1"/>
    <col min="3587" max="3589" width="0" style="71" hidden="1" customWidth="1"/>
    <col min="3590" max="3590" width="16.7109375" style="71" customWidth="1"/>
    <col min="3591" max="3591" width="11.42578125" style="71" customWidth="1"/>
    <col min="3592" max="3834" width="9.140625" style="71"/>
    <col min="3835" max="3835" width="4.140625" style="71" customWidth="1"/>
    <col min="3836" max="3836" width="29" style="71" customWidth="1"/>
    <col min="3837" max="3837" width="15.85546875" style="71" customWidth="1"/>
    <col min="3838" max="3838" width="25.85546875" style="71" customWidth="1"/>
    <col min="3839" max="3839" width="9.42578125" style="71" customWidth="1"/>
    <col min="3840" max="3840" width="18.28515625" style="71" customWidth="1"/>
    <col min="3841" max="3841" width="16.28515625" style="71" customWidth="1"/>
    <col min="3842" max="3842" width="10.7109375" style="71" customWidth="1"/>
    <col min="3843" max="3845" width="0" style="71" hidden="1" customWidth="1"/>
    <col min="3846" max="3846" width="16.7109375" style="71" customWidth="1"/>
    <col min="3847" max="3847" width="11.42578125" style="71" customWidth="1"/>
    <col min="3848" max="4090" width="9.140625" style="71"/>
    <col min="4091" max="4091" width="4.140625" style="71" customWidth="1"/>
    <col min="4092" max="4092" width="29" style="71" customWidth="1"/>
    <col min="4093" max="4093" width="15.85546875" style="71" customWidth="1"/>
    <col min="4094" max="4094" width="25.85546875" style="71" customWidth="1"/>
    <col min="4095" max="4095" width="9.42578125" style="71" customWidth="1"/>
    <col min="4096" max="4096" width="18.28515625" style="71" customWidth="1"/>
    <col min="4097" max="4097" width="16.28515625" style="71" customWidth="1"/>
    <col min="4098" max="4098" width="10.7109375" style="71" customWidth="1"/>
    <col min="4099" max="4101" width="0" style="71" hidden="1" customWidth="1"/>
    <col min="4102" max="4102" width="16.7109375" style="71" customWidth="1"/>
    <col min="4103" max="4103" width="11.42578125" style="71" customWidth="1"/>
    <col min="4104" max="4346" width="9.140625" style="71"/>
    <col min="4347" max="4347" width="4.140625" style="71" customWidth="1"/>
    <col min="4348" max="4348" width="29" style="71" customWidth="1"/>
    <col min="4349" max="4349" width="15.85546875" style="71" customWidth="1"/>
    <col min="4350" max="4350" width="25.85546875" style="71" customWidth="1"/>
    <col min="4351" max="4351" width="9.42578125" style="71" customWidth="1"/>
    <col min="4352" max="4352" width="18.28515625" style="71" customWidth="1"/>
    <col min="4353" max="4353" width="16.28515625" style="71" customWidth="1"/>
    <col min="4354" max="4354" width="10.7109375" style="71" customWidth="1"/>
    <col min="4355" max="4357" width="0" style="71" hidden="1" customWidth="1"/>
    <col min="4358" max="4358" width="16.7109375" style="71" customWidth="1"/>
    <col min="4359" max="4359" width="11.42578125" style="71" customWidth="1"/>
    <col min="4360" max="4602" width="9.140625" style="71"/>
    <col min="4603" max="4603" width="4.140625" style="71" customWidth="1"/>
    <col min="4604" max="4604" width="29" style="71" customWidth="1"/>
    <col min="4605" max="4605" width="15.85546875" style="71" customWidth="1"/>
    <col min="4606" max="4606" width="25.85546875" style="71" customWidth="1"/>
    <col min="4607" max="4607" width="9.42578125" style="71" customWidth="1"/>
    <col min="4608" max="4608" width="18.28515625" style="71" customWidth="1"/>
    <col min="4609" max="4609" width="16.28515625" style="71" customWidth="1"/>
    <col min="4610" max="4610" width="10.7109375" style="71" customWidth="1"/>
    <col min="4611" max="4613" width="0" style="71" hidden="1" customWidth="1"/>
    <col min="4614" max="4614" width="16.7109375" style="71" customWidth="1"/>
    <col min="4615" max="4615" width="11.42578125" style="71" customWidth="1"/>
    <col min="4616" max="4858" width="9.140625" style="71"/>
    <col min="4859" max="4859" width="4.140625" style="71" customWidth="1"/>
    <col min="4860" max="4860" width="29" style="71" customWidth="1"/>
    <col min="4861" max="4861" width="15.85546875" style="71" customWidth="1"/>
    <col min="4862" max="4862" width="25.85546875" style="71" customWidth="1"/>
    <col min="4863" max="4863" width="9.42578125" style="71" customWidth="1"/>
    <col min="4864" max="4864" width="18.28515625" style="71" customWidth="1"/>
    <col min="4865" max="4865" width="16.28515625" style="71" customWidth="1"/>
    <col min="4866" max="4866" width="10.7109375" style="71" customWidth="1"/>
    <col min="4867" max="4869" width="0" style="71" hidden="1" customWidth="1"/>
    <col min="4870" max="4870" width="16.7109375" style="71" customWidth="1"/>
    <col min="4871" max="4871" width="11.42578125" style="71" customWidth="1"/>
    <col min="4872" max="5114" width="9.140625" style="71"/>
    <col min="5115" max="5115" width="4.140625" style="71" customWidth="1"/>
    <col min="5116" max="5116" width="29" style="71" customWidth="1"/>
    <col min="5117" max="5117" width="15.85546875" style="71" customWidth="1"/>
    <col min="5118" max="5118" width="25.85546875" style="71" customWidth="1"/>
    <col min="5119" max="5119" width="9.42578125" style="71" customWidth="1"/>
    <col min="5120" max="5120" width="18.28515625" style="71" customWidth="1"/>
    <col min="5121" max="5121" width="16.28515625" style="71" customWidth="1"/>
    <col min="5122" max="5122" width="10.7109375" style="71" customWidth="1"/>
    <col min="5123" max="5125" width="0" style="71" hidden="1" customWidth="1"/>
    <col min="5126" max="5126" width="16.7109375" style="71" customWidth="1"/>
    <col min="5127" max="5127" width="11.42578125" style="71" customWidth="1"/>
    <col min="5128" max="5370" width="9.140625" style="71"/>
    <col min="5371" max="5371" width="4.140625" style="71" customWidth="1"/>
    <col min="5372" max="5372" width="29" style="71" customWidth="1"/>
    <col min="5373" max="5373" width="15.85546875" style="71" customWidth="1"/>
    <col min="5374" max="5374" width="25.85546875" style="71" customWidth="1"/>
    <col min="5375" max="5375" width="9.42578125" style="71" customWidth="1"/>
    <col min="5376" max="5376" width="18.28515625" style="71" customWidth="1"/>
    <col min="5377" max="5377" width="16.28515625" style="71" customWidth="1"/>
    <col min="5378" max="5378" width="10.7109375" style="71" customWidth="1"/>
    <col min="5379" max="5381" width="0" style="71" hidden="1" customWidth="1"/>
    <col min="5382" max="5382" width="16.7109375" style="71" customWidth="1"/>
    <col min="5383" max="5383" width="11.42578125" style="71" customWidth="1"/>
    <col min="5384" max="5626" width="9.140625" style="71"/>
    <col min="5627" max="5627" width="4.140625" style="71" customWidth="1"/>
    <col min="5628" max="5628" width="29" style="71" customWidth="1"/>
    <col min="5629" max="5629" width="15.85546875" style="71" customWidth="1"/>
    <col min="5630" max="5630" width="25.85546875" style="71" customWidth="1"/>
    <col min="5631" max="5631" width="9.42578125" style="71" customWidth="1"/>
    <col min="5632" max="5632" width="18.28515625" style="71" customWidth="1"/>
    <col min="5633" max="5633" width="16.28515625" style="71" customWidth="1"/>
    <col min="5634" max="5634" width="10.7109375" style="71" customWidth="1"/>
    <col min="5635" max="5637" width="0" style="71" hidden="1" customWidth="1"/>
    <col min="5638" max="5638" width="16.7109375" style="71" customWidth="1"/>
    <col min="5639" max="5639" width="11.42578125" style="71" customWidth="1"/>
    <col min="5640" max="5882" width="9.140625" style="71"/>
    <col min="5883" max="5883" width="4.140625" style="71" customWidth="1"/>
    <col min="5884" max="5884" width="29" style="71" customWidth="1"/>
    <col min="5885" max="5885" width="15.85546875" style="71" customWidth="1"/>
    <col min="5886" max="5886" width="25.85546875" style="71" customWidth="1"/>
    <col min="5887" max="5887" width="9.42578125" style="71" customWidth="1"/>
    <col min="5888" max="5888" width="18.28515625" style="71" customWidth="1"/>
    <col min="5889" max="5889" width="16.28515625" style="71" customWidth="1"/>
    <col min="5890" max="5890" width="10.7109375" style="71" customWidth="1"/>
    <col min="5891" max="5893" width="0" style="71" hidden="1" customWidth="1"/>
    <col min="5894" max="5894" width="16.7109375" style="71" customWidth="1"/>
    <col min="5895" max="5895" width="11.42578125" style="71" customWidth="1"/>
    <col min="5896" max="6138" width="9.140625" style="71"/>
    <col min="6139" max="6139" width="4.140625" style="71" customWidth="1"/>
    <col min="6140" max="6140" width="29" style="71" customWidth="1"/>
    <col min="6141" max="6141" width="15.85546875" style="71" customWidth="1"/>
    <col min="6142" max="6142" width="25.85546875" style="71" customWidth="1"/>
    <col min="6143" max="6143" width="9.42578125" style="71" customWidth="1"/>
    <col min="6144" max="6144" width="18.28515625" style="71" customWidth="1"/>
    <col min="6145" max="6145" width="16.28515625" style="71" customWidth="1"/>
    <col min="6146" max="6146" width="10.7109375" style="71" customWidth="1"/>
    <col min="6147" max="6149" width="0" style="71" hidden="1" customWidth="1"/>
    <col min="6150" max="6150" width="16.7109375" style="71" customWidth="1"/>
    <col min="6151" max="6151" width="11.42578125" style="71" customWidth="1"/>
    <col min="6152" max="6394" width="9.140625" style="71"/>
    <col min="6395" max="6395" width="4.140625" style="71" customWidth="1"/>
    <col min="6396" max="6396" width="29" style="71" customWidth="1"/>
    <col min="6397" max="6397" width="15.85546875" style="71" customWidth="1"/>
    <col min="6398" max="6398" width="25.85546875" style="71" customWidth="1"/>
    <col min="6399" max="6399" width="9.42578125" style="71" customWidth="1"/>
    <col min="6400" max="6400" width="18.28515625" style="71" customWidth="1"/>
    <col min="6401" max="6401" width="16.28515625" style="71" customWidth="1"/>
    <col min="6402" max="6402" width="10.7109375" style="71" customWidth="1"/>
    <col min="6403" max="6405" width="0" style="71" hidden="1" customWidth="1"/>
    <col min="6406" max="6406" width="16.7109375" style="71" customWidth="1"/>
    <col min="6407" max="6407" width="11.42578125" style="71" customWidth="1"/>
    <col min="6408" max="6650" width="9.140625" style="71"/>
    <col min="6651" max="6651" width="4.140625" style="71" customWidth="1"/>
    <col min="6652" max="6652" width="29" style="71" customWidth="1"/>
    <col min="6653" max="6653" width="15.85546875" style="71" customWidth="1"/>
    <col min="6654" max="6654" width="25.85546875" style="71" customWidth="1"/>
    <col min="6655" max="6655" width="9.42578125" style="71" customWidth="1"/>
    <col min="6656" max="6656" width="18.28515625" style="71" customWidth="1"/>
    <col min="6657" max="6657" width="16.28515625" style="71" customWidth="1"/>
    <col min="6658" max="6658" width="10.7109375" style="71" customWidth="1"/>
    <col min="6659" max="6661" width="0" style="71" hidden="1" customWidth="1"/>
    <col min="6662" max="6662" width="16.7109375" style="71" customWidth="1"/>
    <col min="6663" max="6663" width="11.42578125" style="71" customWidth="1"/>
    <col min="6664" max="6906" width="9.140625" style="71"/>
    <col min="6907" max="6907" width="4.140625" style="71" customWidth="1"/>
    <col min="6908" max="6908" width="29" style="71" customWidth="1"/>
    <col min="6909" max="6909" width="15.85546875" style="71" customWidth="1"/>
    <col min="6910" max="6910" width="25.85546875" style="71" customWidth="1"/>
    <col min="6911" max="6911" width="9.42578125" style="71" customWidth="1"/>
    <col min="6912" max="6912" width="18.28515625" style="71" customWidth="1"/>
    <col min="6913" max="6913" width="16.28515625" style="71" customWidth="1"/>
    <col min="6914" max="6914" width="10.7109375" style="71" customWidth="1"/>
    <col min="6915" max="6917" width="0" style="71" hidden="1" customWidth="1"/>
    <col min="6918" max="6918" width="16.7109375" style="71" customWidth="1"/>
    <col min="6919" max="6919" width="11.42578125" style="71" customWidth="1"/>
    <col min="6920" max="7162" width="9.140625" style="71"/>
    <col min="7163" max="7163" width="4.140625" style="71" customWidth="1"/>
    <col min="7164" max="7164" width="29" style="71" customWidth="1"/>
    <col min="7165" max="7165" width="15.85546875" style="71" customWidth="1"/>
    <col min="7166" max="7166" width="25.85546875" style="71" customWidth="1"/>
    <col min="7167" max="7167" width="9.42578125" style="71" customWidth="1"/>
    <col min="7168" max="7168" width="18.28515625" style="71" customWidth="1"/>
    <col min="7169" max="7169" width="16.28515625" style="71" customWidth="1"/>
    <col min="7170" max="7170" width="10.7109375" style="71" customWidth="1"/>
    <col min="7171" max="7173" width="0" style="71" hidden="1" customWidth="1"/>
    <col min="7174" max="7174" width="16.7109375" style="71" customWidth="1"/>
    <col min="7175" max="7175" width="11.42578125" style="71" customWidth="1"/>
    <col min="7176" max="7418" width="9.140625" style="71"/>
    <col min="7419" max="7419" width="4.140625" style="71" customWidth="1"/>
    <col min="7420" max="7420" width="29" style="71" customWidth="1"/>
    <col min="7421" max="7421" width="15.85546875" style="71" customWidth="1"/>
    <col min="7422" max="7422" width="25.85546875" style="71" customWidth="1"/>
    <col min="7423" max="7423" width="9.42578125" style="71" customWidth="1"/>
    <col min="7424" max="7424" width="18.28515625" style="71" customWidth="1"/>
    <col min="7425" max="7425" width="16.28515625" style="71" customWidth="1"/>
    <col min="7426" max="7426" width="10.7109375" style="71" customWidth="1"/>
    <col min="7427" max="7429" width="0" style="71" hidden="1" customWidth="1"/>
    <col min="7430" max="7430" width="16.7109375" style="71" customWidth="1"/>
    <col min="7431" max="7431" width="11.42578125" style="71" customWidth="1"/>
    <col min="7432" max="7674" width="9.140625" style="71"/>
    <col min="7675" max="7675" width="4.140625" style="71" customWidth="1"/>
    <col min="7676" max="7676" width="29" style="71" customWidth="1"/>
    <col min="7677" max="7677" width="15.85546875" style="71" customWidth="1"/>
    <col min="7678" max="7678" width="25.85546875" style="71" customWidth="1"/>
    <col min="7679" max="7679" width="9.42578125" style="71" customWidth="1"/>
    <col min="7680" max="7680" width="18.28515625" style="71" customWidth="1"/>
    <col min="7681" max="7681" width="16.28515625" style="71" customWidth="1"/>
    <col min="7682" max="7682" width="10.7109375" style="71" customWidth="1"/>
    <col min="7683" max="7685" width="0" style="71" hidden="1" customWidth="1"/>
    <col min="7686" max="7686" width="16.7109375" style="71" customWidth="1"/>
    <col min="7687" max="7687" width="11.42578125" style="71" customWidth="1"/>
    <col min="7688" max="7930" width="9.140625" style="71"/>
    <col min="7931" max="7931" width="4.140625" style="71" customWidth="1"/>
    <col min="7932" max="7932" width="29" style="71" customWidth="1"/>
    <col min="7933" max="7933" width="15.85546875" style="71" customWidth="1"/>
    <col min="7934" max="7934" width="25.85546875" style="71" customWidth="1"/>
    <col min="7935" max="7935" width="9.42578125" style="71" customWidth="1"/>
    <col min="7936" max="7936" width="18.28515625" style="71" customWidth="1"/>
    <col min="7937" max="7937" width="16.28515625" style="71" customWidth="1"/>
    <col min="7938" max="7938" width="10.7109375" style="71" customWidth="1"/>
    <col min="7939" max="7941" width="0" style="71" hidden="1" customWidth="1"/>
    <col min="7942" max="7942" width="16.7109375" style="71" customWidth="1"/>
    <col min="7943" max="7943" width="11.42578125" style="71" customWidth="1"/>
    <col min="7944" max="8186" width="9.140625" style="71"/>
    <col min="8187" max="8187" width="4.140625" style="71" customWidth="1"/>
    <col min="8188" max="8188" width="29" style="71" customWidth="1"/>
    <col min="8189" max="8189" width="15.85546875" style="71" customWidth="1"/>
    <col min="8190" max="8190" width="25.85546875" style="71" customWidth="1"/>
    <col min="8191" max="8191" width="9.42578125" style="71" customWidth="1"/>
    <col min="8192" max="8192" width="18.28515625" style="71" customWidth="1"/>
    <col min="8193" max="8193" width="16.28515625" style="71" customWidth="1"/>
    <col min="8194" max="8194" width="10.7109375" style="71" customWidth="1"/>
    <col min="8195" max="8197" width="0" style="71" hidden="1" customWidth="1"/>
    <col min="8198" max="8198" width="16.7109375" style="71" customWidth="1"/>
    <col min="8199" max="8199" width="11.42578125" style="71" customWidth="1"/>
    <col min="8200" max="8442" width="9.140625" style="71"/>
    <col min="8443" max="8443" width="4.140625" style="71" customWidth="1"/>
    <col min="8444" max="8444" width="29" style="71" customWidth="1"/>
    <col min="8445" max="8445" width="15.85546875" style="71" customWidth="1"/>
    <col min="8446" max="8446" width="25.85546875" style="71" customWidth="1"/>
    <col min="8447" max="8447" width="9.42578125" style="71" customWidth="1"/>
    <col min="8448" max="8448" width="18.28515625" style="71" customWidth="1"/>
    <col min="8449" max="8449" width="16.28515625" style="71" customWidth="1"/>
    <col min="8450" max="8450" width="10.7109375" style="71" customWidth="1"/>
    <col min="8451" max="8453" width="0" style="71" hidden="1" customWidth="1"/>
    <col min="8454" max="8454" width="16.7109375" style="71" customWidth="1"/>
    <col min="8455" max="8455" width="11.42578125" style="71" customWidth="1"/>
    <col min="8456" max="8698" width="9.140625" style="71"/>
    <col min="8699" max="8699" width="4.140625" style="71" customWidth="1"/>
    <col min="8700" max="8700" width="29" style="71" customWidth="1"/>
    <col min="8701" max="8701" width="15.85546875" style="71" customWidth="1"/>
    <col min="8702" max="8702" width="25.85546875" style="71" customWidth="1"/>
    <col min="8703" max="8703" width="9.42578125" style="71" customWidth="1"/>
    <col min="8704" max="8704" width="18.28515625" style="71" customWidth="1"/>
    <col min="8705" max="8705" width="16.28515625" style="71" customWidth="1"/>
    <col min="8706" max="8706" width="10.7109375" style="71" customWidth="1"/>
    <col min="8707" max="8709" width="0" style="71" hidden="1" customWidth="1"/>
    <col min="8710" max="8710" width="16.7109375" style="71" customWidth="1"/>
    <col min="8711" max="8711" width="11.42578125" style="71" customWidth="1"/>
    <col min="8712" max="8954" width="9.140625" style="71"/>
    <col min="8955" max="8955" width="4.140625" style="71" customWidth="1"/>
    <col min="8956" max="8956" width="29" style="71" customWidth="1"/>
    <col min="8957" max="8957" width="15.85546875" style="71" customWidth="1"/>
    <col min="8958" max="8958" width="25.85546875" style="71" customWidth="1"/>
    <col min="8959" max="8959" width="9.42578125" style="71" customWidth="1"/>
    <col min="8960" max="8960" width="18.28515625" style="71" customWidth="1"/>
    <col min="8961" max="8961" width="16.28515625" style="71" customWidth="1"/>
    <col min="8962" max="8962" width="10.7109375" style="71" customWidth="1"/>
    <col min="8963" max="8965" width="0" style="71" hidden="1" customWidth="1"/>
    <col min="8966" max="8966" width="16.7109375" style="71" customWidth="1"/>
    <col min="8967" max="8967" width="11.42578125" style="71" customWidth="1"/>
    <col min="8968" max="9210" width="9.140625" style="71"/>
    <col min="9211" max="9211" width="4.140625" style="71" customWidth="1"/>
    <col min="9212" max="9212" width="29" style="71" customWidth="1"/>
    <col min="9213" max="9213" width="15.85546875" style="71" customWidth="1"/>
    <col min="9214" max="9214" width="25.85546875" style="71" customWidth="1"/>
    <col min="9215" max="9215" width="9.42578125" style="71" customWidth="1"/>
    <col min="9216" max="9216" width="18.28515625" style="71" customWidth="1"/>
    <col min="9217" max="9217" width="16.28515625" style="71" customWidth="1"/>
    <col min="9218" max="9218" width="10.7109375" style="71" customWidth="1"/>
    <col min="9219" max="9221" width="0" style="71" hidden="1" customWidth="1"/>
    <col min="9222" max="9222" width="16.7109375" style="71" customWidth="1"/>
    <col min="9223" max="9223" width="11.42578125" style="71" customWidth="1"/>
    <col min="9224" max="9466" width="9.140625" style="71"/>
    <col min="9467" max="9467" width="4.140625" style="71" customWidth="1"/>
    <col min="9468" max="9468" width="29" style="71" customWidth="1"/>
    <col min="9469" max="9469" width="15.85546875" style="71" customWidth="1"/>
    <col min="9470" max="9470" width="25.85546875" style="71" customWidth="1"/>
    <col min="9471" max="9471" width="9.42578125" style="71" customWidth="1"/>
    <col min="9472" max="9472" width="18.28515625" style="71" customWidth="1"/>
    <col min="9473" max="9473" width="16.28515625" style="71" customWidth="1"/>
    <col min="9474" max="9474" width="10.7109375" style="71" customWidth="1"/>
    <col min="9475" max="9477" width="0" style="71" hidden="1" customWidth="1"/>
    <col min="9478" max="9478" width="16.7109375" style="71" customWidth="1"/>
    <col min="9479" max="9479" width="11.42578125" style="71" customWidth="1"/>
    <col min="9480" max="9722" width="9.140625" style="71"/>
    <col min="9723" max="9723" width="4.140625" style="71" customWidth="1"/>
    <col min="9724" max="9724" width="29" style="71" customWidth="1"/>
    <col min="9725" max="9725" width="15.85546875" style="71" customWidth="1"/>
    <col min="9726" max="9726" width="25.85546875" style="71" customWidth="1"/>
    <col min="9727" max="9727" width="9.42578125" style="71" customWidth="1"/>
    <col min="9728" max="9728" width="18.28515625" style="71" customWidth="1"/>
    <col min="9729" max="9729" width="16.28515625" style="71" customWidth="1"/>
    <col min="9730" max="9730" width="10.7109375" style="71" customWidth="1"/>
    <col min="9731" max="9733" width="0" style="71" hidden="1" customWidth="1"/>
    <col min="9734" max="9734" width="16.7109375" style="71" customWidth="1"/>
    <col min="9735" max="9735" width="11.42578125" style="71" customWidth="1"/>
    <col min="9736" max="9978" width="9.140625" style="71"/>
    <col min="9979" max="9979" width="4.140625" style="71" customWidth="1"/>
    <col min="9980" max="9980" width="29" style="71" customWidth="1"/>
    <col min="9981" max="9981" width="15.85546875" style="71" customWidth="1"/>
    <col min="9982" max="9982" width="25.85546875" style="71" customWidth="1"/>
    <col min="9983" max="9983" width="9.42578125" style="71" customWidth="1"/>
    <col min="9984" max="9984" width="18.28515625" style="71" customWidth="1"/>
    <col min="9985" max="9985" width="16.28515625" style="71" customWidth="1"/>
    <col min="9986" max="9986" width="10.7109375" style="71" customWidth="1"/>
    <col min="9987" max="9989" width="0" style="71" hidden="1" customWidth="1"/>
    <col min="9990" max="9990" width="16.7109375" style="71" customWidth="1"/>
    <col min="9991" max="9991" width="11.42578125" style="71" customWidth="1"/>
    <col min="9992" max="10234" width="9.140625" style="71"/>
    <col min="10235" max="10235" width="4.140625" style="71" customWidth="1"/>
    <col min="10236" max="10236" width="29" style="71" customWidth="1"/>
    <col min="10237" max="10237" width="15.85546875" style="71" customWidth="1"/>
    <col min="10238" max="10238" width="25.85546875" style="71" customWidth="1"/>
    <col min="10239" max="10239" width="9.42578125" style="71" customWidth="1"/>
    <col min="10240" max="10240" width="18.28515625" style="71" customWidth="1"/>
    <col min="10241" max="10241" width="16.28515625" style="71" customWidth="1"/>
    <col min="10242" max="10242" width="10.7109375" style="71" customWidth="1"/>
    <col min="10243" max="10245" width="0" style="71" hidden="1" customWidth="1"/>
    <col min="10246" max="10246" width="16.7109375" style="71" customWidth="1"/>
    <col min="10247" max="10247" width="11.42578125" style="71" customWidth="1"/>
    <col min="10248" max="10490" width="9.140625" style="71"/>
    <col min="10491" max="10491" width="4.140625" style="71" customWidth="1"/>
    <col min="10492" max="10492" width="29" style="71" customWidth="1"/>
    <col min="10493" max="10493" width="15.85546875" style="71" customWidth="1"/>
    <col min="10494" max="10494" width="25.85546875" style="71" customWidth="1"/>
    <col min="10495" max="10495" width="9.42578125" style="71" customWidth="1"/>
    <col min="10496" max="10496" width="18.28515625" style="71" customWidth="1"/>
    <col min="10497" max="10497" width="16.28515625" style="71" customWidth="1"/>
    <col min="10498" max="10498" width="10.7109375" style="71" customWidth="1"/>
    <col min="10499" max="10501" width="0" style="71" hidden="1" customWidth="1"/>
    <col min="10502" max="10502" width="16.7109375" style="71" customWidth="1"/>
    <col min="10503" max="10503" width="11.42578125" style="71" customWidth="1"/>
    <col min="10504" max="10746" width="9.140625" style="71"/>
    <col min="10747" max="10747" width="4.140625" style="71" customWidth="1"/>
    <col min="10748" max="10748" width="29" style="71" customWidth="1"/>
    <col min="10749" max="10749" width="15.85546875" style="71" customWidth="1"/>
    <col min="10750" max="10750" width="25.85546875" style="71" customWidth="1"/>
    <col min="10751" max="10751" width="9.42578125" style="71" customWidth="1"/>
    <col min="10752" max="10752" width="18.28515625" style="71" customWidth="1"/>
    <col min="10753" max="10753" width="16.28515625" style="71" customWidth="1"/>
    <col min="10754" max="10754" width="10.7109375" style="71" customWidth="1"/>
    <col min="10755" max="10757" width="0" style="71" hidden="1" customWidth="1"/>
    <col min="10758" max="10758" width="16.7109375" style="71" customWidth="1"/>
    <col min="10759" max="10759" width="11.42578125" style="71" customWidth="1"/>
    <col min="10760" max="11002" width="9.140625" style="71"/>
    <col min="11003" max="11003" width="4.140625" style="71" customWidth="1"/>
    <col min="11004" max="11004" width="29" style="71" customWidth="1"/>
    <col min="11005" max="11005" width="15.85546875" style="71" customWidth="1"/>
    <col min="11006" max="11006" width="25.85546875" style="71" customWidth="1"/>
    <col min="11007" max="11007" width="9.42578125" style="71" customWidth="1"/>
    <col min="11008" max="11008" width="18.28515625" style="71" customWidth="1"/>
    <col min="11009" max="11009" width="16.28515625" style="71" customWidth="1"/>
    <col min="11010" max="11010" width="10.7109375" style="71" customWidth="1"/>
    <col min="11011" max="11013" width="0" style="71" hidden="1" customWidth="1"/>
    <col min="11014" max="11014" width="16.7109375" style="71" customWidth="1"/>
    <col min="11015" max="11015" width="11.42578125" style="71" customWidth="1"/>
    <col min="11016" max="11258" width="9.140625" style="71"/>
    <col min="11259" max="11259" width="4.140625" style="71" customWidth="1"/>
    <col min="11260" max="11260" width="29" style="71" customWidth="1"/>
    <col min="11261" max="11261" width="15.85546875" style="71" customWidth="1"/>
    <col min="11262" max="11262" width="25.85546875" style="71" customWidth="1"/>
    <col min="11263" max="11263" width="9.42578125" style="71" customWidth="1"/>
    <col min="11264" max="11264" width="18.28515625" style="71" customWidth="1"/>
    <col min="11265" max="11265" width="16.28515625" style="71" customWidth="1"/>
    <col min="11266" max="11266" width="10.7109375" style="71" customWidth="1"/>
    <col min="11267" max="11269" width="0" style="71" hidden="1" customWidth="1"/>
    <col min="11270" max="11270" width="16.7109375" style="71" customWidth="1"/>
    <col min="11271" max="11271" width="11.42578125" style="71" customWidth="1"/>
    <col min="11272" max="11514" width="9.140625" style="71"/>
    <col min="11515" max="11515" width="4.140625" style="71" customWidth="1"/>
    <col min="11516" max="11516" width="29" style="71" customWidth="1"/>
    <col min="11517" max="11517" width="15.85546875" style="71" customWidth="1"/>
    <col min="11518" max="11518" width="25.85546875" style="71" customWidth="1"/>
    <col min="11519" max="11519" width="9.42578125" style="71" customWidth="1"/>
    <col min="11520" max="11520" width="18.28515625" style="71" customWidth="1"/>
    <col min="11521" max="11521" width="16.28515625" style="71" customWidth="1"/>
    <col min="11522" max="11522" width="10.7109375" style="71" customWidth="1"/>
    <col min="11523" max="11525" width="0" style="71" hidden="1" customWidth="1"/>
    <col min="11526" max="11526" width="16.7109375" style="71" customWidth="1"/>
    <col min="11527" max="11527" width="11.42578125" style="71" customWidth="1"/>
    <col min="11528" max="11770" width="9.140625" style="71"/>
    <col min="11771" max="11771" width="4.140625" style="71" customWidth="1"/>
    <col min="11772" max="11772" width="29" style="71" customWidth="1"/>
    <col min="11773" max="11773" width="15.85546875" style="71" customWidth="1"/>
    <col min="11774" max="11774" width="25.85546875" style="71" customWidth="1"/>
    <col min="11775" max="11775" width="9.42578125" style="71" customWidth="1"/>
    <col min="11776" max="11776" width="18.28515625" style="71" customWidth="1"/>
    <col min="11777" max="11777" width="16.28515625" style="71" customWidth="1"/>
    <col min="11778" max="11778" width="10.7109375" style="71" customWidth="1"/>
    <col min="11779" max="11781" width="0" style="71" hidden="1" customWidth="1"/>
    <col min="11782" max="11782" width="16.7109375" style="71" customWidth="1"/>
    <col min="11783" max="11783" width="11.42578125" style="71" customWidth="1"/>
    <col min="11784" max="12026" width="9.140625" style="71"/>
    <col min="12027" max="12027" width="4.140625" style="71" customWidth="1"/>
    <col min="12028" max="12028" width="29" style="71" customWidth="1"/>
    <col min="12029" max="12029" width="15.85546875" style="71" customWidth="1"/>
    <col min="12030" max="12030" width="25.85546875" style="71" customWidth="1"/>
    <col min="12031" max="12031" width="9.42578125" style="71" customWidth="1"/>
    <col min="12032" max="12032" width="18.28515625" style="71" customWidth="1"/>
    <col min="12033" max="12033" width="16.28515625" style="71" customWidth="1"/>
    <col min="12034" max="12034" width="10.7109375" style="71" customWidth="1"/>
    <col min="12035" max="12037" width="0" style="71" hidden="1" customWidth="1"/>
    <col min="12038" max="12038" width="16.7109375" style="71" customWidth="1"/>
    <col min="12039" max="12039" width="11.42578125" style="71" customWidth="1"/>
    <col min="12040" max="12282" width="9.140625" style="71"/>
    <col min="12283" max="12283" width="4.140625" style="71" customWidth="1"/>
    <col min="12284" max="12284" width="29" style="71" customWidth="1"/>
    <col min="12285" max="12285" width="15.85546875" style="71" customWidth="1"/>
    <col min="12286" max="12286" width="25.85546875" style="71" customWidth="1"/>
    <col min="12287" max="12287" width="9.42578125" style="71" customWidth="1"/>
    <col min="12288" max="12288" width="18.28515625" style="71" customWidth="1"/>
    <col min="12289" max="12289" width="16.28515625" style="71" customWidth="1"/>
    <col min="12290" max="12290" width="10.7109375" style="71" customWidth="1"/>
    <col min="12291" max="12293" width="0" style="71" hidden="1" customWidth="1"/>
    <col min="12294" max="12294" width="16.7109375" style="71" customWidth="1"/>
    <col min="12295" max="12295" width="11.42578125" style="71" customWidth="1"/>
    <col min="12296" max="12538" width="9.140625" style="71"/>
    <col min="12539" max="12539" width="4.140625" style="71" customWidth="1"/>
    <col min="12540" max="12540" width="29" style="71" customWidth="1"/>
    <col min="12541" max="12541" width="15.85546875" style="71" customWidth="1"/>
    <col min="12542" max="12542" width="25.85546875" style="71" customWidth="1"/>
    <col min="12543" max="12543" width="9.42578125" style="71" customWidth="1"/>
    <col min="12544" max="12544" width="18.28515625" style="71" customWidth="1"/>
    <col min="12545" max="12545" width="16.28515625" style="71" customWidth="1"/>
    <col min="12546" max="12546" width="10.7109375" style="71" customWidth="1"/>
    <col min="12547" max="12549" width="0" style="71" hidden="1" customWidth="1"/>
    <col min="12550" max="12550" width="16.7109375" style="71" customWidth="1"/>
    <col min="12551" max="12551" width="11.42578125" style="71" customWidth="1"/>
    <col min="12552" max="12794" width="9.140625" style="71"/>
    <col min="12795" max="12795" width="4.140625" style="71" customWidth="1"/>
    <col min="12796" max="12796" width="29" style="71" customWidth="1"/>
    <col min="12797" max="12797" width="15.85546875" style="71" customWidth="1"/>
    <col min="12798" max="12798" width="25.85546875" style="71" customWidth="1"/>
    <col min="12799" max="12799" width="9.42578125" style="71" customWidth="1"/>
    <col min="12800" max="12800" width="18.28515625" style="71" customWidth="1"/>
    <col min="12801" max="12801" width="16.28515625" style="71" customWidth="1"/>
    <col min="12802" max="12802" width="10.7109375" style="71" customWidth="1"/>
    <col min="12803" max="12805" width="0" style="71" hidden="1" customWidth="1"/>
    <col min="12806" max="12806" width="16.7109375" style="71" customWidth="1"/>
    <col min="12807" max="12807" width="11.42578125" style="71" customWidth="1"/>
    <col min="12808" max="13050" width="9.140625" style="71"/>
    <col min="13051" max="13051" width="4.140625" style="71" customWidth="1"/>
    <col min="13052" max="13052" width="29" style="71" customWidth="1"/>
    <col min="13053" max="13053" width="15.85546875" style="71" customWidth="1"/>
    <col min="13054" max="13054" width="25.85546875" style="71" customWidth="1"/>
    <col min="13055" max="13055" width="9.42578125" style="71" customWidth="1"/>
    <col min="13056" max="13056" width="18.28515625" style="71" customWidth="1"/>
    <col min="13057" max="13057" width="16.28515625" style="71" customWidth="1"/>
    <col min="13058" max="13058" width="10.7109375" style="71" customWidth="1"/>
    <col min="13059" max="13061" width="0" style="71" hidden="1" customWidth="1"/>
    <col min="13062" max="13062" width="16.7109375" style="71" customWidth="1"/>
    <col min="13063" max="13063" width="11.42578125" style="71" customWidth="1"/>
    <col min="13064" max="13306" width="9.140625" style="71"/>
    <col min="13307" max="13307" width="4.140625" style="71" customWidth="1"/>
    <col min="13308" max="13308" width="29" style="71" customWidth="1"/>
    <col min="13309" max="13309" width="15.85546875" style="71" customWidth="1"/>
    <col min="13310" max="13310" width="25.85546875" style="71" customWidth="1"/>
    <col min="13311" max="13311" width="9.42578125" style="71" customWidth="1"/>
    <col min="13312" max="13312" width="18.28515625" style="71" customWidth="1"/>
    <col min="13313" max="13313" width="16.28515625" style="71" customWidth="1"/>
    <col min="13314" max="13314" width="10.7109375" style="71" customWidth="1"/>
    <col min="13315" max="13317" width="0" style="71" hidden="1" customWidth="1"/>
    <col min="13318" max="13318" width="16.7109375" style="71" customWidth="1"/>
    <col min="13319" max="13319" width="11.42578125" style="71" customWidth="1"/>
    <col min="13320" max="13562" width="9.140625" style="71"/>
    <col min="13563" max="13563" width="4.140625" style="71" customWidth="1"/>
    <col min="13564" max="13564" width="29" style="71" customWidth="1"/>
    <col min="13565" max="13565" width="15.85546875" style="71" customWidth="1"/>
    <col min="13566" max="13566" width="25.85546875" style="71" customWidth="1"/>
    <col min="13567" max="13567" width="9.42578125" style="71" customWidth="1"/>
    <col min="13568" max="13568" width="18.28515625" style="71" customWidth="1"/>
    <col min="13569" max="13569" width="16.28515625" style="71" customWidth="1"/>
    <col min="13570" max="13570" width="10.7109375" style="71" customWidth="1"/>
    <col min="13571" max="13573" width="0" style="71" hidden="1" customWidth="1"/>
    <col min="13574" max="13574" width="16.7109375" style="71" customWidth="1"/>
    <col min="13575" max="13575" width="11.42578125" style="71" customWidth="1"/>
    <col min="13576" max="13818" width="9.140625" style="71"/>
    <col min="13819" max="13819" width="4.140625" style="71" customWidth="1"/>
    <col min="13820" max="13820" width="29" style="71" customWidth="1"/>
    <col min="13821" max="13821" width="15.85546875" style="71" customWidth="1"/>
    <col min="13822" max="13822" width="25.85546875" style="71" customWidth="1"/>
    <col min="13823" max="13823" width="9.42578125" style="71" customWidth="1"/>
    <col min="13824" max="13824" width="18.28515625" style="71" customWidth="1"/>
    <col min="13825" max="13825" width="16.28515625" style="71" customWidth="1"/>
    <col min="13826" max="13826" width="10.7109375" style="71" customWidth="1"/>
    <col min="13827" max="13829" width="0" style="71" hidden="1" customWidth="1"/>
    <col min="13830" max="13830" width="16.7109375" style="71" customWidth="1"/>
    <col min="13831" max="13831" width="11.42578125" style="71" customWidth="1"/>
    <col min="13832" max="14074" width="9.140625" style="71"/>
    <col min="14075" max="14075" width="4.140625" style="71" customWidth="1"/>
    <col min="14076" max="14076" width="29" style="71" customWidth="1"/>
    <col min="14077" max="14077" width="15.85546875" style="71" customWidth="1"/>
    <col min="14078" max="14078" width="25.85546875" style="71" customWidth="1"/>
    <col min="14079" max="14079" width="9.42578125" style="71" customWidth="1"/>
    <col min="14080" max="14080" width="18.28515625" style="71" customWidth="1"/>
    <col min="14081" max="14081" width="16.28515625" style="71" customWidth="1"/>
    <col min="14082" max="14082" width="10.7109375" style="71" customWidth="1"/>
    <col min="14083" max="14085" width="0" style="71" hidden="1" customWidth="1"/>
    <col min="14086" max="14086" width="16.7109375" style="71" customWidth="1"/>
    <col min="14087" max="14087" width="11.42578125" style="71" customWidth="1"/>
    <col min="14088" max="14330" width="9.140625" style="71"/>
    <col min="14331" max="14331" width="4.140625" style="71" customWidth="1"/>
    <col min="14332" max="14332" width="29" style="71" customWidth="1"/>
    <col min="14333" max="14333" width="15.85546875" style="71" customWidth="1"/>
    <col min="14334" max="14334" width="25.85546875" style="71" customWidth="1"/>
    <col min="14335" max="14335" width="9.42578125" style="71" customWidth="1"/>
    <col min="14336" max="14336" width="18.28515625" style="71" customWidth="1"/>
    <col min="14337" max="14337" width="16.28515625" style="71" customWidth="1"/>
    <col min="14338" max="14338" width="10.7109375" style="71" customWidth="1"/>
    <col min="14339" max="14341" width="0" style="71" hidden="1" customWidth="1"/>
    <col min="14342" max="14342" width="16.7109375" style="71" customWidth="1"/>
    <col min="14343" max="14343" width="11.42578125" style="71" customWidth="1"/>
    <col min="14344" max="14586" width="9.140625" style="71"/>
    <col min="14587" max="14587" width="4.140625" style="71" customWidth="1"/>
    <col min="14588" max="14588" width="29" style="71" customWidth="1"/>
    <col min="14589" max="14589" width="15.85546875" style="71" customWidth="1"/>
    <col min="14590" max="14590" width="25.85546875" style="71" customWidth="1"/>
    <col min="14591" max="14591" width="9.42578125" style="71" customWidth="1"/>
    <col min="14592" max="14592" width="18.28515625" style="71" customWidth="1"/>
    <col min="14593" max="14593" width="16.28515625" style="71" customWidth="1"/>
    <col min="14594" max="14594" width="10.7109375" style="71" customWidth="1"/>
    <col min="14595" max="14597" width="0" style="71" hidden="1" customWidth="1"/>
    <col min="14598" max="14598" width="16.7109375" style="71" customWidth="1"/>
    <col min="14599" max="14599" width="11.42578125" style="71" customWidth="1"/>
    <col min="14600" max="14842" width="9.140625" style="71"/>
    <col min="14843" max="14843" width="4.140625" style="71" customWidth="1"/>
    <col min="14844" max="14844" width="29" style="71" customWidth="1"/>
    <col min="14845" max="14845" width="15.85546875" style="71" customWidth="1"/>
    <col min="14846" max="14846" width="25.85546875" style="71" customWidth="1"/>
    <col min="14847" max="14847" width="9.42578125" style="71" customWidth="1"/>
    <col min="14848" max="14848" width="18.28515625" style="71" customWidth="1"/>
    <col min="14849" max="14849" width="16.28515625" style="71" customWidth="1"/>
    <col min="14850" max="14850" width="10.7109375" style="71" customWidth="1"/>
    <col min="14851" max="14853" width="0" style="71" hidden="1" customWidth="1"/>
    <col min="14854" max="14854" width="16.7109375" style="71" customWidth="1"/>
    <col min="14855" max="14855" width="11.42578125" style="71" customWidth="1"/>
    <col min="14856" max="15098" width="9.140625" style="71"/>
    <col min="15099" max="15099" width="4.140625" style="71" customWidth="1"/>
    <col min="15100" max="15100" width="29" style="71" customWidth="1"/>
    <col min="15101" max="15101" width="15.85546875" style="71" customWidth="1"/>
    <col min="15102" max="15102" width="25.85546875" style="71" customWidth="1"/>
    <col min="15103" max="15103" width="9.42578125" style="71" customWidth="1"/>
    <col min="15104" max="15104" width="18.28515625" style="71" customWidth="1"/>
    <col min="15105" max="15105" width="16.28515625" style="71" customWidth="1"/>
    <col min="15106" max="15106" width="10.7109375" style="71" customWidth="1"/>
    <col min="15107" max="15109" width="0" style="71" hidden="1" customWidth="1"/>
    <col min="15110" max="15110" width="16.7109375" style="71" customWidth="1"/>
    <col min="15111" max="15111" width="11.42578125" style="71" customWidth="1"/>
    <col min="15112" max="15354" width="9.140625" style="71"/>
    <col min="15355" max="15355" width="4.140625" style="71" customWidth="1"/>
    <col min="15356" max="15356" width="29" style="71" customWidth="1"/>
    <col min="15357" max="15357" width="15.85546875" style="71" customWidth="1"/>
    <col min="15358" max="15358" width="25.85546875" style="71" customWidth="1"/>
    <col min="15359" max="15359" width="9.42578125" style="71" customWidth="1"/>
    <col min="15360" max="15360" width="18.28515625" style="71" customWidth="1"/>
    <col min="15361" max="15361" width="16.28515625" style="71" customWidth="1"/>
    <col min="15362" max="15362" width="10.7109375" style="71" customWidth="1"/>
    <col min="15363" max="15365" width="0" style="71" hidden="1" customWidth="1"/>
    <col min="15366" max="15366" width="16.7109375" style="71" customWidth="1"/>
    <col min="15367" max="15367" width="11.42578125" style="71" customWidth="1"/>
    <col min="15368" max="15610" width="9.140625" style="71"/>
    <col min="15611" max="15611" width="4.140625" style="71" customWidth="1"/>
    <col min="15612" max="15612" width="29" style="71" customWidth="1"/>
    <col min="15613" max="15613" width="15.85546875" style="71" customWidth="1"/>
    <col min="15614" max="15614" width="25.85546875" style="71" customWidth="1"/>
    <col min="15615" max="15615" width="9.42578125" style="71" customWidth="1"/>
    <col min="15616" max="15616" width="18.28515625" style="71" customWidth="1"/>
    <col min="15617" max="15617" width="16.28515625" style="71" customWidth="1"/>
    <col min="15618" max="15618" width="10.7109375" style="71" customWidth="1"/>
    <col min="15619" max="15621" width="0" style="71" hidden="1" customWidth="1"/>
    <col min="15622" max="15622" width="16.7109375" style="71" customWidth="1"/>
    <col min="15623" max="15623" width="11.42578125" style="71" customWidth="1"/>
    <col min="15624" max="15866" width="9.140625" style="71"/>
    <col min="15867" max="15867" width="4.140625" style="71" customWidth="1"/>
    <col min="15868" max="15868" width="29" style="71" customWidth="1"/>
    <col min="15869" max="15869" width="15.85546875" style="71" customWidth="1"/>
    <col min="15870" max="15870" width="25.85546875" style="71" customWidth="1"/>
    <col min="15871" max="15871" width="9.42578125" style="71" customWidth="1"/>
    <col min="15872" max="15872" width="18.28515625" style="71" customWidth="1"/>
    <col min="15873" max="15873" width="16.28515625" style="71" customWidth="1"/>
    <col min="15874" max="15874" width="10.7109375" style="71" customWidth="1"/>
    <col min="15875" max="15877" width="0" style="71" hidden="1" customWidth="1"/>
    <col min="15878" max="15878" width="16.7109375" style="71" customWidth="1"/>
    <col min="15879" max="15879" width="11.42578125" style="71" customWidth="1"/>
    <col min="15880" max="16122" width="9.140625" style="71"/>
    <col min="16123" max="16123" width="4.140625" style="71" customWidth="1"/>
    <col min="16124" max="16124" width="29" style="71" customWidth="1"/>
    <col min="16125" max="16125" width="15.85546875" style="71" customWidth="1"/>
    <col min="16126" max="16126" width="25.85546875" style="71" customWidth="1"/>
    <col min="16127" max="16127" width="9.42578125" style="71" customWidth="1"/>
    <col min="16128" max="16128" width="18.28515625" style="71" customWidth="1"/>
    <col min="16129" max="16129" width="16.28515625" style="71" customWidth="1"/>
    <col min="16130" max="16130" width="10.7109375" style="71" customWidth="1"/>
    <col min="16131" max="16133" width="0" style="71" hidden="1" customWidth="1"/>
    <col min="16134" max="16134" width="16.7109375" style="71" customWidth="1"/>
    <col min="16135" max="16135" width="11.42578125" style="71" customWidth="1"/>
    <col min="16136" max="16384" width="9.140625" style="71"/>
  </cols>
  <sheetData>
    <row r="1" spans="1:250" ht="14.25" x14ac:dyDescent="0.2">
      <c r="I1" s="280" t="s">
        <v>169</v>
      </c>
    </row>
    <row r="2" spans="1:250" s="76" customFormat="1" ht="19.5" customHeight="1" x14ac:dyDescent="0.2">
      <c r="A2" s="125"/>
      <c r="B2" s="125"/>
      <c r="C2" s="125"/>
      <c r="D2" s="125"/>
      <c r="N2" s="269"/>
      <c r="O2" s="269"/>
    </row>
    <row r="3" spans="1:250" s="76" customFormat="1" ht="19.5" hidden="1" customHeight="1" x14ac:dyDescent="0.2">
      <c r="A3" s="125"/>
      <c r="B3" s="125"/>
      <c r="C3" s="125"/>
      <c r="D3" s="125"/>
      <c r="E3" s="256"/>
      <c r="G3" s="256"/>
      <c r="H3" s="71"/>
      <c r="I3" s="231" t="s">
        <v>169</v>
      </c>
      <c r="J3" s="71"/>
      <c r="K3" s="71"/>
      <c r="L3" s="230"/>
      <c r="M3" s="71"/>
      <c r="N3" s="269"/>
      <c r="O3" s="269"/>
    </row>
    <row r="4" spans="1:250" s="76" customFormat="1" ht="19.5" hidden="1" customHeight="1" x14ac:dyDescent="0.2">
      <c r="A4" s="125"/>
      <c r="B4" s="125"/>
      <c r="C4" s="125"/>
      <c r="D4" s="125"/>
      <c r="E4" s="256"/>
      <c r="G4" s="256"/>
      <c r="H4" s="185"/>
      <c r="I4" s="277" t="s">
        <v>170</v>
      </c>
      <c r="J4" s="278"/>
      <c r="K4" s="278"/>
      <c r="L4" s="279"/>
      <c r="M4" s="271" t="s">
        <v>171</v>
      </c>
      <c r="N4" s="269"/>
      <c r="O4" s="269"/>
    </row>
    <row r="5" spans="1:250" s="76" customFormat="1" ht="19.5" customHeight="1" x14ac:dyDescent="0.2">
      <c r="D5" s="100"/>
      <c r="H5" s="185"/>
      <c r="I5" s="272" t="s">
        <v>172</v>
      </c>
      <c r="J5" s="272" t="s">
        <v>173</v>
      </c>
      <c r="K5" s="272" t="s">
        <v>174</v>
      </c>
      <c r="L5" s="273" t="s">
        <v>175</v>
      </c>
      <c r="M5" s="274"/>
      <c r="N5" s="269"/>
      <c r="O5" s="269"/>
    </row>
    <row r="6" spans="1:250" s="76" customFormat="1" ht="19.5" customHeight="1" x14ac:dyDescent="0.2">
      <c r="D6" s="100"/>
      <c r="E6" s="256"/>
      <c r="G6" s="257"/>
      <c r="H6" s="232" t="s">
        <v>176</v>
      </c>
      <c r="I6" s="229">
        <v>0.01</v>
      </c>
      <c r="J6" s="229">
        <v>0.15</v>
      </c>
      <c r="K6" s="229">
        <v>1.5</v>
      </c>
      <c r="L6" s="233">
        <f>J6-(J6-J7)*(M16-I6)/(I7-I6)</f>
        <v>-0.16243699999999991</v>
      </c>
      <c r="N6" s="269"/>
      <c r="O6" s="269"/>
    </row>
    <row r="7" spans="1:250" ht="20.25" customHeight="1" x14ac:dyDescent="0.2">
      <c r="A7" s="704" t="s">
        <v>280</v>
      </c>
      <c r="B7" s="704"/>
      <c r="C7" s="704"/>
      <c r="D7" s="704"/>
      <c r="E7" s="704"/>
      <c r="F7" s="704"/>
      <c r="G7" s="704"/>
      <c r="H7" s="185"/>
      <c r="I7" s="229">
        <v>0.05</v>
      </c>
      <c r="J7" s="229">
        <v>0.11</v>
      </c>
      <c r="K7" s="229">
        <v>5.5</v>
      </c>
      <c r="L7" s="233">
        <f>J7-(J7-J8)*(M16-I7)/(I8-I7)</f>
        <v>-2.6218499999999964E-2</v>
      </c>
      <c r="M7" s="234"/>
      <c r="N7" s="234"/>
      <c r="O7" s="269"/>
    </row>
    <row r="8" spans="1:250" s="219" customFormat="1" ht="13.5" x14ac:dyDescent="0.2">
      <c r="A8" s="782"/>
      <c r="B8" s="782"/>
      <c r="C8" s="782"/>
      <c r="D8" s="782"/>
      <c r="E8" s="782"/>
      <c r="F8" s="782"/>
      <c r="G8" s="782"/>
      <c r="H8" s="185"/>
      <c r="I8" s="229">
        <v>0.1</v>
      </c>
      <c r="J8" s="229">
        <v>8.5000000000000006E-2</v>
      </c>
      <c r="K8" s="229">
        <v>8.5</v>
      </c>
      <c r="L8" s="233">
        <f>J8-(J8-J9)*(M16-I8)/(I9-I8)</f>
        <v>4.0512599999999968E-2</v>
      </c>
      <c r="M8" s="234"/>
      <c r="N8" s="234"/>
      <c r="O8" s="269"/>
    </row>
    <row r="9" spans="1:250" s="219" customFormat="1" ht="80.25" customHeight="1" x14ac:dyDescent="0.2">
      <c r="A9" s="783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«Нежилое здание»,   расположенного  по    адресу: 
г. Москва, Мичуринский проспект, вл.9, корп.5.</v>
      </c>
      <c r="B9" s="783"/>
      <c r="C9" s="783"/>
      <c r="D9" s="783"/>
      <c r="E9" s="783"/>
      <c r="F9" s="783"/>
      <c r="G9" s="783"/>
      <c r="H9" s="185"/>
      <c r="I9" s="229">
        <v>0.15</v>
      </c>
      <c r="J9" s="229">
        <v>7.4999999999999997E-2</v>
      </c>
      <c r="K9" s="229">
        <v>11.25</v>
      </c>
      <c r="L9" s="233">
        <f>J9-(J9-J10)*(M16-I9)/(I10-I9)</f>
        <v>4.7410080000000035E-2</v>
      </c>
      <c r="M9" s="234"/>
      <c r="N9" s="234"/>
      <c r="O9" s="269"/>
    </row>
    <row r="10" spans="1:250" s="76" customFormat="1" ht="17.25" customHeight="1" thickBot="1" x14ac:dyDescent="0.25">
      <c r="A10" s="788" t="s">
        <v>305</v>
      </c>
      <c r="B10" s="788"/>
      <c r="C10" s="788"/>
      <c r="D10" s="788"/>
      <c r="E10" s="788"/>
      <c r="F10" s="788"/>
      <c r="G10" s="788"/>
      <c r="H10" s="185"/>
      <c r="I10" s="229">
        <v>0.2</v>
      </c>
      <c r="J10" s="229">
        <v>6.7000000000000004E-2</v>
      </c>
      <c r="K10" s="229">
        <v>13.4</v>
      </c>
      <c r="L10" s="233">
        <f>J10-(J10-J11)*(M16-I10)/(I11-I10)</f>
        <v>4.4961340000000002E-2</v>
      </c>
      <c r="M10" s="234"/>
      <c r="N10" s="234"/>
      <c r="O10" s="269"/>
    </row>
    <row r="11" spans="1:250" s="219" customFormat="1" ht="43.5" customHeight="1" thickBot="1" x14ac:dyDescent="0.25">
      <c r="A11" s="784" t="s">
        <v>181</v>
      </c>
      <c r="B11" s="785"/>
      <c r="C11" s="785"/>
      <c r="D11" s="785"/>
      <c r="E11" s="785"/>
      <c r="F11" s="785"/>
      <c r="G11" s="786"/>
      <c r="H11" s="185"/>
      <c r="I11" s="229">
        <v>0.25</v>
      </c>
      <c r="J11" s="229">
        <v>5.8000000000000003E-2</v>
      </c>
      <c r="K11" s="229">
        <v>14.5</v>
      </c>
      <c r="L11" s="233">
        <f>J11-(J11-J12)*(M16-I11)/(I12-I11)</f>
        <v>5.5102520000000002E-2</v>
      </c>
      <c r="M11" s="234"/>
      <c r="N11" s="234"/>
      <c r="O11" s="269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5"/>
      <c r="BN11" s="205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05"/>
      <c r="CB11" s="205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5"/>
      <c r="DA11" s="205"/>
      <c r="DB11" s="205"/>
      <c r="DC11" s="205"/>
      <c r="DD11" s="205"/>
      <c r="DE11" s="205"/>
      <c r="DF11" s="205"/>
      <c r="DG11" s="205"/>
      <c r="DH11" s="205"/>
      <c r="DI11" s="205"/>
      <c r="DJ11" s="205"/>
      <c r="DK11" s="205"/>
      <c r="DL11" s="205"/>
      <c r="DM11" s="205"/>
      <c r="DN11" s="205"/>
      <c r="DO11" s="205"/>
      <c r="DP11" s="205"/>
      <c r="DQ11" s="205"/>
      <c r="DR11" s="205"/>
      <c r="DS11" s="205"/>
      <c r="DT11" s="205"/>
      <c r="DU11" s="205"/>
      <c r="DV11" s="205"/>
      <c r="DW11" s="205"/>
      <c r="DX11" s="205"/>
      <c r="DY11" s="205"/>
      <c r="DZ11" s="205"/>
      <c r="EA11" s="205"/>
      <c r="EB11" s="205"/>
      <c r="EC11" s="205"/>
      <c r="ED11" s="205"/>
      <c r="EE11" s="205"/>
      <c r="EF11" s="205"/>
      <c r="EG11" s="205"/>
      <c r="EH11" s="205"/>
      <c r="EI11" s="205"/>
      <c r="EJ11" s="205"/>
      <c r="EK11" s="205"/>
      <c r="EL11" s="205"/>
      <c r="EM11" s="205"/>
      <c r="EN11" s="205"/>
      <c r="EO11" s="205"/>
      <c r="EP11" s="205"/>
      <c r="EQ11" s="205"/>
      <c r="ER11" s="205"/>
      <c r="ES11" s="205"/>
      <c r="ET11" s="205"/>
      <c r="EU11" s="205"/>
      <c r="EV11" s="205"/>
      <c r="EW11" s="205"/>
      <c r="EX11" s="205"/>
      <c r="EY11" s="205"/>
      <c r="EZ11" s="205"/>
      <c r="FA11" s="205"/>
      <c r="FB11" s="205"/>
      <c r="FC11" s="205"/>
      <c r="FD11" s="205"/>
      <c r="FE11" s="205"/>
      <c r="FF11" s="205"/>
      <c r="FG11" s="205"/>
      <c r="FH11" s="205"/>
      <c r="FI11" s="205"/>
      <c r="FJ11" s="205"/>
      <c r="FK11" s="205"/>
      <c r="FL11" s="205"/>
      <c r="FM11" s="205"/>
      <c r="FN11" s="205"/>
      <c r="FO11" s="205"/>
      <c r="FP11" s="205"/>
      <c r="FQ11" s="205"/>
      <c r="FR11" s="205"/>
      <c r="FS11" s="205"/>
      <c r="FT11" s="205"/>
      <c r="FU11" s="205"/>
      <c r="FV11" s="205"/>
      <c r="FW11" s="205"/>
      <c r="FX11" s="205"/>
      <c r="FY11" s="205"/>
      <c r="FZ11" s="205"/>
      <c r="GA11" s="205"/>
      <c r="GB11" s="205"/>
      <c r="GC11" s="205"/>
      <c r="GD11" s="205"/>
      <c r="GE11" s="205"/>
      <c r="GF11" s="205"/>
      <c r="GG11" s="205"/>
      <c r="GH11" s="205"/>
      <c r="GI11" s="205"/>
      <c r="GJ11" s="205"/>
      <c r="GK11" s="205"/>
      <c r="GL11" s="205"/>
      <c r="GM11" s="205"/>
      <c r="GN11" s="205"/>
      <c r="GO11" s="205"/>
      <c r="GP11" s="205"/>
      <c r="GQ11" s="205"/>
      <c r="GR11" s="205"/>
      <c r="GS11" s="205"/>
      <c r="GT11" s="205"/>
      <c r="GU11" s="205"/>
      <c r="GV11" s="205"/>
      <c r="GW11" s="205"/>
      <c r="GX11" s="205"/>
      <c r="GY11" s="205"/>
      <c r="GZ11" s="205"/>
      <c r="HA11" s="205"/>
      <c r="HB11" s="205"/>
      <c r="HC11" s="205"/>
      <c r="HD11" s="205"/>
      <c r="HE11" s="205"/>
      <c r="HF11" s="205"/>
      <c r="HG11" s="205"/>
      <c r="HH11" s="205"/>
      <c r="HI11" s="205"/>
      <c r="HJ11" s="205"/>
      <c r="HK11" s="205"/>
      <c r="HL11" s="205"/>
      <c r="HM11" s="205"/>
      <c r="HN11" s="205"/>
      <c r="HO11" s="205"/>
      <c r="HP11" s="205"/>
      <c r="HQ11" s="205"/>
      <c r="HR11" s="205"/>
      <c r="HS11" s="205"/>
      <c r="HT11" s="205"/>
      <c r="HU11" s="205"/>
      <c r="HV11" s="205"/>
      <c r="HW11" s="205"/>
      <c r="HX11" s="205"/>
      <c r="HY11" s="205"/>
      <c r="HZ11" s="205"/>
      <c r="IA11" s="205"/>
      <c r="IB11" s="205"/>
      <c r="IC11" s="205"/>
      <c r="ID11" s="205"/>
      <c r="IE11" s="205"/>
      <c r="IF11" s="205"/>
      <c r="IG11" s="205"/>
      <c r="IH11" s="205"/>
      <c r="II11" s="205"/>
      <c r="IJ11" s="205"/>
      <c r="IK11" s="205"/>
      <c r="IL11" s="205"/>
      <c r="IM11" s="205"/>
      <c r="IN11" s="205"/>
      <c r="IO11" s="205"/>
      <c r="IP11" s="205"/>
    </row>
    <row r="12" spans="1:250" ht="26.25" thickBot="1" x14ac:dyDescent="0.25">
      <c r="A12" s="250" t="s">
        <v>157</v>
      </c>
      <c r="B12" s="235" t="s">
        <v>158</v>
      </c>
      <c r="C12" s="236" t="s">
        <v>8</v>
      </c>
      <c r="D12" s="235" t="s">
        <v>3</v>
      </c>
      <c r="E12" s="237" t="s">
        <v>159</v>
      </c>
      <c r="F12" s="238" t="s">
        <v>0</v>
      </c>
      <c r="G12" s="223" t="s">
        <v>5</v>
      </c>
      <c r="H12" s="185"/>
      <c r="I12" s="229">
        <v>0.3</v>
      </c>
      <c r="J12" s="229">
        <v>5.6000000000000001E-2</v>
      </c>
      <c r="K12" s="229">
        <v>16.8</v>
      </c>
      <c r="L12" s="233">
        <f>J12-(J12-J13)*(M16-I12)/(I13-I12)</f>
        <v>5.37563E-2</v>
      </c>
      <c r="M12" s="234"/>
      <c r="N12" s="234"/>
      <c r="O12" s="269"/>
    </row>
    <row r="13" spans="1:250" ht="14.25" thickBot="1" x14ac:dyDescent="0.25">
      <c r="A13" s="250"/>
      <c r="B13" s="239"/>
      <c r="C13" s="220"/>
      <c r="D13" s="251"/>
      <c r="E13" s="221"/>
      <c r="F13" s="222"/>
      <c r="G13" s="223"/>
      <c r="H13" s="185"/>
      <c r="I13" s="229">
        <v>0.4</v>
      </c>
      <c r="J13" s="229">
        <v>4.5999999999999999E-2</v>
      </c>
      <c r="K13" s="229">
        <v>18.399999999999999</v>
      </c>
      <c r="L13" s="233">
        <f>J13-(J13-J14)*(M16-I13)/(I14-I13)</f>
        <v>5.1429410000000002E-2</v>
      </c>
      <c r="M13" s="234"/>
      <c r="N13" s="234"/>
      <c r="O13" s="269"/>
    </row>
    <row r="14" spans="1:250" s="5" customFormat="1" ht="39" thickBot="1" x14ac:dyDescent="0.25">
      <c r="A14" s="224">
        <v>1</v>
      </c>
      <c r="B14" s="240" t="s">
        <v>160</v>
      </c>
      <c r="C14" s="654">
        <f>Т.с.!I81+'ООС+Тр'!H61</f>
        <v>499777.35</v>
      </c>
      <c r="D14" s="252"/>
      <c r="E14" s="241"/>
      <c r="F14" s="242"/>
      <c r="G14" s="243"/>
      <c r="H14" s="653"/>
      <c r="I14" s="229">
        <v>0.5</v>
      </c>
      <c r="J14" s="229">
        <v>3.9E-2</v>
      </c>
      <c r="K14" s="229">
        <v>19.5</v>
      </c>
      <c r="L14" s="233">
        <f>J14-(J14-J16)*(M16-I14)/(I16-I14)</f>
        <v>4.6102519999999994E-2</v>
      </c>
      <c r="M14" s="234"/>
      <c r="N14" s="234"/>
      <c r="O14" s="269"/>
    </row>
    <row r="15" spans="1:250" s="5" customFormat="1" ht="30.75" hidden="1" customHeight="1" thickBot="1" x14ac:dyDescent="0.25">
      <c r="A15" s="225"/>
      <c r="B15" s="780" t="s">
        <v>161</v>
      </c>
      <c r="C15" s="787"/>
      <c r="D15" s="244" t="s">
        <v>162</v>
      </c>
      <c r="E15" s="241">
        <v>1</v>
      </c>
      <c r="F15" s="242" t="s">
        <v>167</v>
      </c>
      <c r="G15" s="243">
        <v>287966.15000000002</v>
      </c>
      <c r="M15" s="234"/>
      <c r="N15" s="234"/>
      <c r="O15" s="269"/>
    </row>
    <row r="16" spans="1:250" s="5" customFormat="1" ht="51.75" thickBot="1" x14ac:dyDescent="0.25">
      <c r="A16" s="225"/>
      <c r="B16" s="780" t="s">
        <v>163</v>
      </c>
      <c r="C16" s="781"/>
      <c r="D16" s="249" t="s">
        <v>164</v>
      </c>
      <c r="E16" s="258">
        <v>1.55</v>
      </c>
      <c r="F16" s="258" t="str">
        <f>CONCATENATE(C14,"/",1.55)</f>
        <v>499777,35/1,55</v>
      </c>
      <c r="G16" s="245">
        <f>ROUND(C14/1.55,2)</f>
        <v>322437</v>
      </c>
      <c r="H16" s="185"/>
      <c r="I16" s="229">
        <v>0.6</v>
      </c>
      <c r="J16" s="229">
        <v>3.5000000000000003E-2</v>
      </c>
      <c r="K16" s="229">
        <v>21</v>
      </c>
      <c r="L16" s="233">
        <f>J16-(J16-J17)*(M16-I16)/(I17-I16)</f>
        <v>4.6102520000000015E-2</v>
      </c>
      <c r="M16" s="275">
        <f>G16/1000000</f>
        <v>0.32243699999999997</v>
      </c>
      <c r="N16" s="234"/>
      <c r="O16" s="269"/>
    </row>
    <row r="17" spans="1:15" s="5" customFormat="1" ht="26.25" thickBot="1" x14ac:dyDescent="0.25">
      <c r="A17" s="225"/>
      <c r="B17" s="780" t="s">
        <v>165</v>
      </c>
      <c r="C17" s="781"/>
      <c r="D17" s="82" t="s">
        <v>182</v>
      </c>
      <c r="E17" s="246">
        <f>ROUND(L12,4)</f>
        <v>5.3800000000000001E-2</v>
      </c>
      <c r="F17" s="82" t="str">
        <f>CONCATENATE(G16,"*",E17,"*",1.55)</f>
        <v>322437*0,0538*1,55</v>
      </c>
      <c r="G17" s="247">
        <f>ROUND(G16*E17*1.55,2)</f>
        <v>26888.02</v>
      </c>
      <c r="H17" s="185"/>
      <c r="I17" s="229">
        <v>0.7</v>
      </c>
      <c r="J17" s="229">
        <v>3.1E-2</v>
      </c>
      <c r="K17" s="229">
        <v>21.7</v>
      </c>
      <c r="L17" s="233">
        <f>J17-(J17-J18)*(M16-I17)/(I18-I17)</f>
        <v>3.855125999999999E-2</v>
      </c>
      <c r="M17" s="234"/>
      <c r="N17" s="234"/>
      <c r="O17" s="269"/>
    </row>
    <row r="18" spans="1:15" ht="13.5" x14ac:dyDescent="0.2">
      <c r="H18" s="185"/>
      <c r="I18" s="229">
        <v>0.8</v>
      </c>
      <c r="J18" s="229">
        <v>2.9000000000000001E-2</v>
      </c>
      <c r="K18" s="229">
        <v>23.2</v>
      </c>
      <c r="L18" s="233">
        <f>J18-(J18-J19)*(M16-I18)/(I19-I18)</f>
        <v>4.3326890000000021E-2</v>
      </c>
      <c r="M18" s="234"/>
      <c r="O18" s="269"/>
    </row>
    <row r="19" spans="1:15" ht="13.5" x14ac:dyDescent="0.2">
      <c r="H19" s="185"/>
      <c r="I19" s="229">
        <v>0.9</v>
      </c>
      <c r="J19" s="229">
        <v>2.5999999999999999E-2</v>
      </c>
      <c r="K19" s="229">
        <v>23.4</v>
      </c>
      <c r="L19" s="233">
        <f>J19-(J19-J20)*(M16-I19)/(I20-I19)</f>
        <v>3.7551259999999989E-2</v>
      </c>
      <c r="M19" s="234"/>
      <c r="N19" s="234"/>
      <c r="O19" s="269"/>
    </row>
    <row r="20" spans="1:15" ht="13.5" x14ac:dyDescent="0.2">
      <c r="H20" s="185"/>
      <c r="I20" s="229">
        <v>1</v>
      </c>
      <c r="J20" s="229">
        <v>2.4E-2</v>
      </c>
      <c r="K20" s="229">
        <v>24</v>
      </c>
      <c r="L20" s="233">
        <f>J20-(J20-J21)*(M16-I20)/(I21-I20)</f>
        <v>3.0775630000000002E-2</v>
      </c>
      <c r="M20" s="185"/>
      <c r="O20" s="269"/>
    </row>
    <row r="21" spans="1:15" ht="13.5" x14ac:dyDescent="0.2">
      <c r="B21" s="71">
        <f>Т.с.!B86</f>
        <v>0</v>
      </c>
      <c r="H21" s="185"/>
      <c r="I21" s="229">
        <v>1.1000000000000001</v>
      </c>
      <c r="J21" s="229">
        <v>2.3E-2</v>
      </c>
      <c r="K21" s="229">
        <v>25.3</v>
      </c>
      <c r="L21" s="233">
        <f>J21-(J21-J22)*(M16-I21)/(I22-I21)</f>
        <v>3.0775630000000019E-2</v>
      </c>
      <c r="M21" s="185"/>
      <c r="O21" s="269"/>
    </row>
    <row r="22" spans="1:15" ht="13.5" x14ac:dyDescent="0.2">
      <c r="H22" s="185"/>
      <c r="I22" s="229">
        <v>1.2</v>
      </c>
      <c r="J22" s="229">
        <v>2.1999999999999999E-2</v>
      </c>
      <c r="K22" s="229">
        <v>26.4</v>
      </c>
      <c r="L22" s="233">
        <f>J22-(J22-J23)*(M16-I22)/(I23-I22)</f>
        <v>2.6387814999999998E-2</v>
      </c>
      <c r="M22" s="185"/>
      <c r="N22" s="269"/>
      <c r="O22" s="269"/>
    </row>
    <row r="23" spans="1:15" ht="13.5" x14ac:dyDescent="0.2">
      <c r="H23" s="185"/>
      <c r="I23" s="229">
        <v>1.3</v>
      </c>
      <c r="J23" s="229">
        <v>2.1499999999999998E-2</v>
      </c>
      <c r="K23" s="229">
        <v>27.3</v>
      </c>
      <c r="L23" s="233">
        <f>J23-(J23-J24)*(M16-I23)/(I24-I23)</f>
        <v>-1.8505331450000027</v>
      </c>
      <c r="M23" s="185"/>
      <c r="O23" s="269"/>
    </row>
    <row r="24" spans="1:15" ht="13.5" x14ac:dyDescent="0.2">
      <c r="H24" s="185"/>
      <c r="I24" s="229">
        <v>1.4</v>
      </c>
      <c r="J24" s="229">
        <v>0.21299999999999999</v>
      </c>
      <c r="K24" s="229">
        <v>29.8</v>
      </c>
      <c r="L24" s="233">
        <f>J24-(J24-J25)*(M16-I24)/(I25-I24)</f>
        <v>2.2819209599999986</v>
      </c>
      <c r="M24" s="185"/>
      <c r="N24" s="269"/>
      <c r="O24" s="269"/>
    </row>
    <row r="25" spans="1:15" ht="13.5" x14ac:dyDescent="0.2">
      <c r="H25" s="185"/>
      <c r="I25" s="229">
        <v>1.5</v>
      </c>
      <c r="J25" s="229">
        <v>2.1000000000000001E-2</v>
      </c>
      <c r="K25" s="229">
        <v>31.5</v>
      </c>
      <c r="L25" s="233">
        <f>J25-(J25-J26)*(M16-I25)/(I26-I25)</f>
        <v>2.5710252000000006E-2</v>
      </c>
      <c r="M25" s="185"/>
      <c r="N25" s="269"/>
      <c r="O25" s="269"/>
    </row>
    <row r="26" spans="1:15" ht="13.5" x14ac:dyDescent="0.2">
      <c r="B26" s="71">
        <f>Т.с.!B89</f>
        <v>0</v>
      </c>
      <c r="H26" s="185"/>
      <c r="I26" s="229">
        <v>2</v>
      </c>
      <c r="J26" s="229">
        <v>1.9E-2</v>
      </c>
      <c r="K26" s="229">
        <v>38</v>
      </c>
      <c r="L26" s="233">
        <f>J26-(J26-J27)*(M16-I26)/(I27-I26)</f>
        <v>1.9E-2</v>
      </c>
      <c r="M26" s="185"/>
      <c r="N26" s="269"/>
      <c r="O26" s="269"/>
    </row>
    <row r="27" spans="1:15" ht="13.5" x14ac:dyDescent="0.2">
      <c r="H27" s="185"/>
      <c r="I27" s="229">
        <v>3</v>
      </c>
      <c r="J27" s="229">
        <v>1.9E-2</v>
      </c>
      <c r="K27" s="229">
        <v>45</v>
      </c>
      <c r="L27" s="233">
        <f>J27-(J27-J28)*(M16-I27)/(I28-I27)</f>
        <v>3.7742941000000002E-2</v>
      </c>
      <c r="M27" s="185"/>
      <c r="N27" s="269"/>
      <c r="O27" s="269"/>
    </row>
    <row r="28" spans="1:15" ht="13.5" x14ac:dyDescent="0.2">
      <c r="H28" s="185"/>
      <c r="I28" s="229">
        <v>4</v>
      </c>
      <c r="J28" s="229">
        <v>1.2E-2</v>
      </c>
      <c r="K28" s="229">
        <v>48</v>
      </c>
      <c r="L28" s="233">
        <f>J28-(J28-J29)*(M16-I28)/(I29-I28)</f>
        <v>1.5677563000000005E-2</v>
      </c>
      <c r="M28" s="185"/>
      <c r="N28" s="269"/>
      <c r="O28" s="269"/>
    </row>
    <row r="29" spans="1:15" ht="13.5" x14ac:dyDescent="0.2">
      <c r="H29" s="185"/>
      <c r="I29" s="229">
        <v>5</v>
      </c>
      <c r="J29" s="229">
        <v>1.0999999999999999E-2</v>
      </c>
      <c r="K29" s="229">
        <v>55</v>
      </c>
      <c r="L29" s="233">
        <f>J29-(J29-J30)*(M16-I29)/(I30-I29)</f>
        <v>1.3338781499999994E-2</v>
      </c>
      <c r="M29" s="185"/>
      <c r="N29" s="269"/>
      <c r="O29" s="269"/>
    </row>
    <row r="30" spans="1:15" ht="13.5" x14ac:dyDescent="0.2">
      <c r="H30" s="185"/>
      <c r="I30" s="229">
        <v>6</v>
      </c>
      <c r="J30" s="229">
        <v>1.0500000000000001E-2</v>
      </c>
      <c r="K30" s="229">
        <v>63</v>
      </c>
      <c r="L30" s="233">
        <f>J30-(J30-J31)*(M16-I30)/(I31-I30)</f>
        <v>1.3338781500000004E-2</v>
      </c>
      <c r="M30" s="185"/>
      <c r="N30" s="269"/>
      <c r="O30" s="269"/>
    </row>
    <row r="31" spans="1:15" ht="13.5" x14ac:dyDescent="0.2">
      <c r="H31" s="185"/>
      <c r="I31" s="229">
        <v>7</v>
      </c>
      <c r="J31" s="229">
        <v>0.01</v>
      </c>
      <c r="K31" s="229">
        <v>70</v>
      </c>
      <c r="L31" s="233">
        <f>J31-(J31-J32)*(M16-I31)/(I32-I31)</f>
        <v>1.40065378E-2</v>
      </c>
      <c r="M31" s="185"/>
      <c r="N31" s="269"/>
      <c r="O31" s="269"/>
    </row>
    <row r="32" spans="1:15" ht="13.5" x14ac:dyDescent="0.2">
      <c r="H32" s="185"/>
      <c r="I32" s="229">
        <v>8</v>
      </c>
      <c r="J32" s="229">
        <v>9.4000000000000004E-3</v>
      </c>
      <c r="K32" s="229">
        <v>78.400000000000006</v>
      </c>
      <c r="L32" s="233">
        <f>J32-(J32-J33)*(M16-I32)/(I33-I32)</f>
        <v>6.3289748000000057E-3</v>
      </c>
      <c r="M32" s="185"/>
      <c r="N32" s="269"/>
      <c r="O32" s="269"/>
    </row>
    <row r="33" spans="8:15" ht="13.5" x14ac:dyDescent="0.2">
      <c r="H33" s="185"/>
      <c r="I33" s="229">
        <v>9</v>
      </c>
      <c r="J33" s="229">
        <v>9.7999999999999997E-3</v>
      </c>
      <c r="K33" s="229">
        <v>85.5</v>
      </c>
      <c r="L33" s="233">
        <f>J33-(J33-J34)*(M16-I33)/(I34-I33)</f>
        <v>1.2403268899999998E-2</v>
      </c>
      <c r="M33" s="185"/>
      <c r="N33" s="269"/>
      <c r="O33" s="269"/>
    </row>
    <row r="34" spans="8:15" ht="13.5" x14ac:dyDescent="0.2">
      <c r="H34" s="185"/>
      <c r="I34" s="229">
        <v>10</v>
      </c>
      <c r="J34" s="229">
        <v>9.4999999999999998E-3</v>
      </c>
      <c r="K34" s="229">
        <v>95</v>
      </c>
      <c r="L34" s="233" t="e">
        <f>J34-(J34-J35)*(M16-I34)/(I35-I34)</f>
        <v>#DIV/0!</v>
      </c>
      <c r="M34" s="185"/>
      <c r="N34" s="269"/>
      <c r="O34" s="269"/>
    </row>
    <row r="35" spans="8:15" ht="13.5" x14ac:dyDescent="0.2">
      <c r="H35" s="185"/>
      <c r="I35" s="229">
        <v>10</v>
      </c>
      <c r="J35" s="229">
        <v>8.9999999999999993E-3</v>
      </c>
      <c r="K35" s="229">
        <v>90</v>
      </c>
      <c r="L35" s="233" t="e">
        <f>J35-(J35-#REF!)*(M16-I35)/(#REF!-I35)</f>
        <v>#REF!</v>
      </c>
      <c r="M35" s="185"/>
      <c r="N35" s="269"/>
      <c r="O35" s="269"/>
    </row>
    <row r="36" spans="8:15" x14ac:dyDescent="0.2">
      <c r="H36" s="185"/>
      <c r="I36" s="248" t="s">
        <v>177</v>
      </c>
      <c r="J36" s="185"/>
      <c r="K36" s="185"/>
      <c r="L36" s="276"/>
      <c r="M36" s="185"/>
      <c r="N36" s="269"/>
      <c r="O36" s="269"/>
    </row>
    <row r="37" spans="8:15" x14ac:dyDescent="0.2">
      <c r="H37" s="185"/>
      <c r="I37" s="185"/>
      <c r="J37" s="185"/>
      <c r="K37" s="185"/>
      <c r="L37" s="276"/>
      <c r="M37" s="185"/>
      <c r="N37" s="269"/>
      <c r="O37" s="269"/>
    </row>
    <row r="38" spans="8:15" x14ac:dyDescent="0.2">
      <c r="H38" s="185"/>
      <c r="I38" s="185"/>
      <c r="J38" s="185"/>
      <c r="K38" s="185"/>
      <c r="L38" s="276"/>
      <c r="M38" s="185"/>
      <c r="N38" s="269"/>
      <c r="O38" s="269"/>
    </row>
    <row r="39" spans="8:15" x14ac:dyDescent="0.2">
      <c r="N39" s="269"/>
      <c r="O39" s="269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Проскурина Наталья Сергеевна</cp:lastModifiedBy>
  <cp:lastPrinted>2017-01-09T05:42:03Z</cp:lastPrinted>
  <dcterms:created xsi:type="dcterms:W3CDTF">2004-03-03T10:32:04Z</dcterms:created>
  <dcterms:modified xsi:type="dcterms:W3CDTF">2017-02-21T06:25:46Z</dcterms:modified>
</cp:coreProperties>
</file>