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1148В\Публикация\ZD_11148_smetу\"/>
    </mc:Choice>
  </mc:AlternateContent>
  <bookViews>
    <workbookView xWindow="14505" yWindow="-15" windowWidth="14310" windowHeight="12255" tabRatio="831" activeTab="5"/>
  </bookViews>
  <sheets>
    <sheet name=" ССР" sheetId="66" r:id="rId1"/>
    <sheet name="Т.с." sheetId="62" r:id="rId2"/>
    <sheet name="Геол, экол, геод" sheetId="63" r:id="rId3"/>
    <sheet name="ООС+ТР" sheetId="73" r:id="rId4"/>
    <sheet name="ПОЖ" sheetId="71" r:id="rId5"/>
    <sheet name="СОГЛ" sheetId="72" r:id="rId6"/>
  </sheets>
  <externalReferences>
    <externalReference r:id="rId7"/>
  </externalReferences>
  <definedNames>
    <definedName name="_xlnm.Print_Titles" localSheetId="3">'ООС+ТР'!$13:$13</definedName>
    <definedName name="_xlnm.Print_Titles" localSheetId="1">Т.с.!$14:$14</definedName>
    <definedName name="_xlnm.Print_Area" localSheetId="0">' ССР'!$A$1:$D$37</definedName>
    <definedName name="_xlnm.Print_Area" localSheetId="2">'Геол, экол, геод'!$A$1:$G$40</definedName>
    <definedName name="_xlnm.Print_Area" localSheetId="3">'ООС+ТР'!$A$1:$H$73</definedName>
    <definedName name="_xlnm.Print_Area" localSheetId="4">ПОЖ!$A$1:$H$30</definedName>
    <definedName name="_xlnm.Print_Area" localSheetId="5">СОГЛ!$A$1:$G$36</definedName>
    <definedName name="_xlnm.Print_Area" localSheetId="1">Т.с.!$A$1:$H$61</definedName>
  </definedNames>
  <calcPr calcId="162913"/>
</workbook>
</file>

<file path=xl/calcChain.xml><?xml version="1.0" encoding="utf-8"?>
<calcChain xmlns="http://schemas.openxmlformats.org/spreadsheetml/2006/main">
  <c r="A8" i="73" l="1"/>
  <c r="H61" i="73"/>
  <c r="G61" i="73"/>
  <c r="H60" i="73"/>
  <c r="G60" i="73"/>
  <c r="H59" i="73"/>
  <c r="G59" i="73"/>
  <c r="F58" i="73"/>
  <c r="G57" i="73" s="1"/>
  <c r="H49" i="73"/>
  <c r="G49" i="73"/>
  <c r="H48" i="73"/>
  <c r="G48" i="73"/>
  <c r="H47" i="73"/>
  <c r="G47" i="73"/>
  <c r="F46" i="73"/>
  <c r="F53" i="73" s="1"/>
  <c r="H41" i="73"/>
  <c r="G42" i="73" s="1"/>
  <c r="G41" i="73"/>
  <c r="F38" i="73"/>
  <c r="G38" i="73" s="1"/>
  <c r="H37" i="73"/>
  <c r="G37" i="73"/>
  <c r="H35" i="73"/>
  <c r="G36" i="73" s="1"/>
  <c r="G35" i="73"/>
  <c r="H34" i="73"/>
  <c r="G34" i="73"/>
  <c r="H29" i="73"/>
  <c r="G29" i="73"/>
  <c r="B29" i="73"/>
  <c r="H28" i="73"/>
  <c r="G28" i="73"/>
  <c r="B28" i="73"/>
  <c r="H27" i="73"/>
  <c r="G27" i="73"/>
  <c r="B27" i="73"/>
  <c r="H25" i="73"/>
  <c r="G25" i="73"/>
  <c r="H23" i="73"/>
  <c r="G23" i="73"/>
  <c r="H22" i="73"/>
  <c r="G22" i="73"/>
  <c r="G21" i="73"/>
  <c r="H21" i="73" s="1"/>
  <c r="F21" i="73"/>
  <c r="H20" i="73"/>
  <c r="G20" i="73"/>
  <c r="H19" i="73"/>
  <c r="G19" i="73"/>
  <c r="H18" i="73"/>
  <c r="G18" i="73"/>
  <c r="H17" i="73"/>
  <c r="G17" i="73"/>
  <c r="H15" i="73"/>
  <c r="G15" i="73"/>
  <c r="H14" i="73"/>
  <c r="G14" i="73"/>
  <c r="H16" i="73" l="1"/>
  <c r="H36" i="73"/>
  <c r="H38" i="73"/>
  <c r="G39" i="73" s="1"/>
  <c r="G30" i="73"/>
  <c r="G31" i="73" s="1"/>
  <c r="H45" i="73"/>
  <c r="F51" i="73"/>
  <c r="F55" i="73"/>
  <c r="H54" i="73" s="1"/>
  <c r="G45" i="73"/>
  <c r="H57" i="73"/>
  <c r="H52" i="73"/>
  <c r="G52" i="73"/>
  <c r="H39" i="73"/>
  <c r="H42" i="73"/>
  <c r="G54" i="73"/>
  <c r="F67" i="73"/>
  <c r="F65" i="73"/>
  <c r="F63" i="73"/>
  <c r="G33" i="73" l="1"/>
  <c r="G32" i="73"/>
  <c r="H31" i="73"/>
  <c r="H32" i="73"/>
  <c r="H33" i="73"/>
  <c r="H50" i="73"/>
  <c r="G50" i="73"/>
  <c r="H62" i="73"/>
  <c r="G62" i="73"/>
  <c r="G64" i="73"/>
  <c r="H64" i="73"/>
  <c r="H66" i="73"/>
  <c r="G66" i="73"/>
  <c r="H68" i="73" l="1"/>
  <c r="H69" i="73" l="1"/>
  <c r="H70" i="73" s="1"/>
  <c r="G69" i="73"/>
  <c r="H71" i="73" l="1"/>
  <c r="G71" i="73"/>
  <c r="H72" i="73"/>
  <c r="G72" i="73"/>
  <c r="G70" i="73"/>
  <c r="H73" i="73" l="1"/>
  <c r="D16" i="66" s="1"/>
  <c r="G73" i="73"/>
  <c r="C48" i="62" l="1"/>
  <c r="C23" i="62"/>
  <c r="D23" i="62" s="1"/>
  <c r="C16" i="62"/>
  <c r="D16" i="62" s="1"/>
  <c r="G28" i="62" l="1"/>
  <c r="H29" i="62"/>
  <c r="H27" i="62"/>
  <c r="G29" i="62"/>
  <c r="G27" i="62"/>
  <c r="H28" i="62"/>
  <c r="I22" i="62"/>
  <c r="I21" i="62"/>
  <c r="K21" i="62" s="1"/>
  <c r="G21" i="62"/>
  <c r="G22" i="62"/>
  <c r="H20" i="71" l="1"/>
  <c r="D33" i="62" l="1"/>
  <c r="H33" i="62" s="1"/>
  <c r="D30" i="62"/>
  <c r="H30" i="62" s="1"/>
  <c r="G33" i="62" l="1"/>
  <c r="G30" i="62"/>
  <c r="H36" i="62" l="1"/>
  <c r="H37" i="62" s="1"/>
  <c r="F14" i="63"/>
  <c r="D19" i="71" l="1"/>
  <c r="H19" i="71" s="1"/>
  <c r="F21" i="63"/>
  <c r="F29" i="63" l="1"/>
  <c r="F31" i="63" l="1"/>
  <c r="G31" i="63" s="1"/>
  <c r="G32" i="63" l="1"/>
  <c r="G33" i="63" s="1"/>
  <c r="A9" i="72"/>
  <c r="A8" i="62" l="1"/>
  <c r="A9" i="71" l="1"/>
  <c r="H21" i="71" l="1"/>
  <c r="D17" i="66" s="1"/>
  <c r="G20" i="71"/>
  <c r="H53" i="62" l="1"/>
  <c r="H54" i="62"/>
  <c r="H55" i="62"/>
  <c r="H56" i="62"/>
  <c r="H52" i="62"/>
  <c r="G53" i="62"/>
  <c r="G54" i="62"/>
  <c r="G55" i="62"/>
  <c r="G56" i="62"/>
  <c r="G52" i="62"/>
  <c r="A7" i="63"/>
  <c r="H57" i="62" l="1"/>
  <c r="F23" i="63" l="1"/>
  <c r="F16" i="63"/>
  <c r="G16" i="63" s="1"/>
  <c r="C49" i="62"/>
  <c r="G17" i="63" l="1"/>
  <c r="G18" i="63" s="1"/>
  <c r="G19" i="63" s="1"/>
  <c r="G23" i="63"/>
  <c r="G37" i="62"/>
  <c r="C50" i="62"/>
  <c r="C42" i="62" s="1"/>
  <c r="G24" i="63" l="1"/>
  <c r="G25" i="63" s="1"/>
  <c r="G26" i="63" s="1"/>
  <c r="G19" i="71"/>
  <c r="D42" i="62"/>
  <c r="G42" i="62" s="1"/>
  <c r="H42" i="62" s="1"/>
  <c r="H45" i="62" s="1"/>
  <c r="I58" i="62" s="1"/>
  <c r="C14" i="72" s="1"/>
  <c r="H58" i="62" l="1"/>
  <c r="H59" i="62" s="1"/>
  <c r="D15" i="66" s="1"/>
  <c r="G35" i="63"/>
  <c r="G36" i="63" s="1"/>
  <c r="G37" i="63" s="1"/>
  <c r="D12" i="66" l="1"/>
  <c r="D13" i="66" s="1"/>
  <c r="D21" i="66" s="1"/>
  <c r="D30" i="66" s="1"/>
  <c r="G59" i="62"/>
  <c r="G16" i="72" l="1"/>
  <c r="M16" i="72" l="1"/>
  <c r="F16" i="72"/>
  <c r="L9" i="72" l="1"/>
  <c r="E17" i="72" s="1"/>
  <c r="L24" i="72"/>
  <c r="L22" i="72"/>
  <c r="L21" i="72"/>
  <c r="L25" i="72"/>
  <c r="L23" i="72"/>
  <c r="L26" i="72"/>
  <c r="L11" i="72"/>
  <c r="L14" i="72"/>
  <c r="L10" i="72"/>
  <c r="L16" i="72"/>
  <c r="L17" i="72"/>
  <c r="L6" i="72"/>
  <c r="L20" i="72"/>
  <c r="L28" i="72"/>
  <c r="L19" i="72"/>
  <c r="L27" i="72"/>
  <c r="L29" i="72"/>
  <c r="L34" i="72"/>
  <c r="L30" i="72"/>
  <c r="L33" i="72"/>
  <c r="L13" i="72"/>
  <c r="L12" i="72"/>
  <c r="L18" i="72"/>
  <c r="L7" i="72"/>
  <c r="L8" i="72"/>
  <c r="L35" i="72"/>
  <c r="L32" i="72"/>
  <c r="L31" i="72"/>
  <c r="G17" i="72" l="1"/>
  <c r="D18" i="66" s="1"/>
  <c r="F17" i="72"/>
  <c r="D19" i="66" l="1"/>
  <c r="D20" i="66" l="1"/>
  <c r="D31" i="66"/>
  <c r="D34" i="66" s="1"/>
  <c r="D35" i="66" s="1"/>
  <c r="D36" i="66" s="1"/>
  <c r="D23" i="66"/>
  <c r="D33" i="66" s="1"/>
  <c r="D22" i="66"/>
  <c r="D32" i="66" s="1"/>
</calcChain>
</file>

<file path=xl/sharedStrings.xml><?xml version="1.0" encoding="utf-8"?>
<sst xmlns="http://schemas.openxmlformats.org/spreadsheetml/2006/main" count="416" uniqueCount="311">
  <si>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</si>
  <si>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</si>
  <si>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</si>
  <si>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</si>
  <si>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</si>
  <si>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</si>
  <si>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</si>
  <si>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</si>
  <si>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</si>
  <si>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</si>
  <si>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</si>
  <si>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</si>
  <si>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</si>
  <si>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</si>
  <si>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</si>
  <si>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</si>
  <si>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</si>
  <si>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</si>
  <si>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</si>
  <si>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</si>
  <si>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</si>
  <si>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</si>
  <si>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</si>
  <si>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</si>
  <si>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</si>
  <si>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</si>
  <si>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</si>
  <si>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</si>
  <si>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</si>
  <si>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</si>
  <si>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</si>
  <si>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</si>
  <si>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</si>
  <si>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</si>
  <si>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</si>
  <si>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</si>
  <si>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</si>
  <si>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</si>
  <si>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</si>
  <si>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</si>
  <si>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</si>
  <si>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</si>
  <si>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</si>
  <si>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</si>
  <si>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</si>
  <si>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</si>
  <si>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</si>
  <si>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</si>
  <si>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</si>
  <si>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</si>
  <si>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</si>
  <si>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</si>
  <si>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</si>
  <si>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</si>
  <si>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</si>
  <si>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</si>
  <si>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</si>
  <si>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</si>
  <si>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</si>
  <si>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</si>
  <si>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</si>
  <si>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</si>
  <si>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</si>
  <si>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</si>
  <si>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</si>
  <si>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</si>
  <si>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</si>
  <si>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Приложение №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</si>
  <si>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</si>
  <si>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</si>
  <si>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</si>
  <si>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</si>
  <si>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</si>
  <si>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</si>
  <si>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</si>
  <si>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</si>
  <si>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</si>
  <si>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</si>
  <si>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</si>
  <si>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</si>
  <si>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</si>
  <si>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</si>
  <si>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</si>
  <si>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</si>
  <si>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</si>
  <si>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</si>
  <si>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</si>
  <si>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</si>
  <si>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</si>
  <si>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разработка рабочей документации 60%</t>
  </si>
  <si>
    <t>в т.ч. изыскательские работы</t>
  </si>
  <si>
    <t>разработка проектной документации 40%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</si>
  <si>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</si>
  <si>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</si>
  <si>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</si>
  <si>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</si>
  <si>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</si>
  <si>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</si>
  <si>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</si>
  <si>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</si>
  <si>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</si>
  <si>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</si>
  <si>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</si>
  <si>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</si>
  <si>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</si>
  <si>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</si>
  <si>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</si>
  <si>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</si>
  <si>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</si>
  <si>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</si>
  <si>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</si>
  <si>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</si>
  <si>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</si>
  <si>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</si>
  <si>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</si>
  <si>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</si>
  <si>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</si>
  <si>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</si>
  <si>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</si>
  <si>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</si>
  <si>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</si>
  <si>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</si>
  <si>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</si>
  <si>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 xml:space="preserve"> проектные работы</t>
  </si>
  <si>
    <t>обществ.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</si>
  <si>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</si>
  <si>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</si>
  <si>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</si>
  <si>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</si>
  <si>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</si>
  <si>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</si>
  <si>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</si>
  <si>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</si>
  <si>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</si>
  <si>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</si>
  <si>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</si>
  <si>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</si>
  <si>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</si>
  <si>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</si>
  <si>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</si>
  <si>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</si>
  <si>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</si>
  <si>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</si>
  <si>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</si>
  <si>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</si>
  <si>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</si>
  <si>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</si>
  <si>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</si>
  <si>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</si>
  <si>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</si>
  <si>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</si>
  <si>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</si>
  <si>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</si>
  <si>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</si>
  <si>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</si>
  <si>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</si>
  <si>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</si>
  <si>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</si>
  <si>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</si>
  <si>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</si>
  <si>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</si>
  <si>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</si>
  <si>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</si>
  <si>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</si>
  <si>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</si>
  <si>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</si>
  <si>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</si>
  <si>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</si>
  <si>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</si>
  <si>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</si>
  <si>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</si>
  <si>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</si>
  <si>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</si>
  <si>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</si>
  <si>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</si>
  <si>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</si>
  <si>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</si>
  <si>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</si>
  <si>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</si>
  <si>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</si>
  <si>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</si>
  <si>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</si>
  <si>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</si>
  <si>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</si>
  <si>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</si>
  <si>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</si>
  <si>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</si>
  <si>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</si>
  <si>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</si>
  <si>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</si>
  <si>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</si>
  <si>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</si>
  <si>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</si>
  <si>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</si>
  <si>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</si>
  <si>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</si>
  <si>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</si>
  <si>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</si>
  <si>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</si>
  <si>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</si>
  <si>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</si>
  <si>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</si>
  <si>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</si>
  <si>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</si>
  <si>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</si>
  <si>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</si>
  <si>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</si>
  <si>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</si>
  <si>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</si>
  <si>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</si>
  <si>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</si>
  <si>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</si>
  <si>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5)</t>
    </r>
  </si>
  <si>
    <t>(табл.3.10.4 п.1)   Ц(б)2000 = а+b*х,  где а=</t>
  </si>
  <si>
    <t>Расчет рассеивания ЗВ (от п.11)</t>
  </si>
  <si>
    <r>
      <t xml:space="preserve">Ккор </t>
    </r>
    <r>
      <rPr>
        <sz val="10"/>
        <rFont val="Times New Roman"/>
        <family val="1"/>
        <charset val="204"/>
      </rPr>
      <t>- ППУ изоляция (табл.3.10.4 прим.п.6)</t>
    </r>
  </si>
  <si>
    <r>
      <t>Ккор.</t>
    </r>
    <r>
      <rPr>
        <sz val="10"/>
        <rFont val="Times New Roman"/>
        <family val="1"/>
        <charset val="204"/>
      </rPr>
      <t xml:space="preserve"> - для каждых последующих 2-х тр-дов. (Табл. 3.10.4 прим.3)</t>
    </r>
  </si>
  <si>
    <t>а=</t>
  </si>
  <si>
    <r>
      <t>Дистанционный контроль</t>
    </r>
    <r>
      <rPr>
        <sz val="10"/>
        <rFont val="Times New Roman"/>
        <family val="1"/>
        <charset val="204"/>
      </rPr>
      <t xml:space="preserve"> состояния трубопроводов, (Табл. 3.10.4 п.13)</t>
    </r>
  </si>
  <si>
    <r>
      <t>Водовыпуск</t>
    </r>
    <r>
      <rPr>
        <sz val="10"/>
        <rFont val="Times New Roman"/>
        <family val="1"/>
        <charset val="204"/>
      </rPr>
      <t>,  Ду300                      (табл. 3.10.3 п.1)</t>
    </r>
  </si>
  <si>
    <t>Ц(б)2000 = а+b*х, где                          а=</t>
  </si>
  <si>
    <r>
      <t xml:space="preserve">Ккор - </t>
    </r>
    <r>
      <rPr>
        <sz val="10"/>
        <rFont val="Times New Roman"/>
        <family val="1"/>
        <charset val="204"/>
      </rPr>
      <t>перегретая вода (табл.3.10.4 прим.п.16)</t>
    </r>
  </si>
  <si>
    <t>на разработку проектной документации и рабочей документации на прокладку разводящей тепловой сети ПАО "МОЭК", расположенной по адресу: г. Москва, ул. Дмитрия Ульянова, д.43, корп.3, стр.1</t>
  </si>
  <si>
    <t>2Ду 80 мм + 2Ду 50 мм</t>
  </si>
  <si>
    <t>Теплосеть (демонтаж):           L=</t>
  </si>
  <si>
    <t xml:space="preserve">4Ду до 150 мм </t>
  </si>
  <si>
    <r>
      <t>Ккор</t>
    </r>
    <r>
      <rPr>
        <sz val="10"/>
        <rFont val="Times New Roman"/>
        <family val="1"/>
        <charset val="204"/>
      </rPr>
      <t xml:space="preserve"> - демонтаж инженерных сетей (раздел 3.10, п.13)</t>
    </r>
  </si>
  <si>
    <t>Глава 3.10, п. 13. минимальная стоимость 6200 руб. Принять 6200 руб.</t>
  </si>
  <si>
    <r>
      <t>Ккор.</t>
    </r>
    <r>
      <rPr>
        <sz val="10"/>
        <rFont val="Times New Roman"/>
        <family val="1"/>
        <charset val="204"/>
      </rPr>
      <t xml:space="preserve"> - надземная прокладка (Табл. 3.10.4 прим.5)</t>
    </r>
  </si>
  <si>
    <t>надземно</t>
  </si>
  <si>
    <t>в непроходном канале</t>
  </si>
  <si>
    <t>в монолитном непроходном канале</t>
  </si>
  <si>
    <t>Теплосеть :           L=</t>
  </si>
  <si>
    <t>в тех.подполье д.49 к.2 (2Ду80+2Ду50)</t>
  </si>
  <si>
    <t>в тех.подполье д.20 (2Ду50)</t>
  </si>
  <si>
    <r>
      <t xml:space="preserve">Ккор </t>
    </r>
    <r>
      <rPr>
        <sz val="10"/>
        <rFont val="Times New Roman"/>
        <family val="1"/>
        <charset val="204"/>
      </rPr>
      <t>- прокладка в здании (табл. 3.10.5 прим.п.5)</t>
    </r>
  </si>
  <si>
    <t>Максимально предельный индекс пересчета на изыскательские работы на 3 квартал 2016г. (Письмо Минстроя РФ № 31523-ХМ/09 от 27.09.2016г.)</t>
  </si>
  <si>
    <t>Максимально предельный индекс пересчета на проектные работы на 3 квартал 2016 г.(Распоряжение департамента Москвы №56-Р от 31.12.2014г.)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</si>
  <si>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МРР-3.2.63.02-16.</t>
  </si>
  <si>
    <t>Раздел 6. п.6.5.</t>
  </si>
  <si>
    <t>Разработка раздела "Мероприятия по охране окружающей среды"</t>
  </si>
  <si>
    <t>Разработка раздела "Технологический регламент"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</si>
  <si>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</si>
  <si>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</si>
  <si>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</si>
  <si>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</si>
  <si>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</si>
  <si>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</si>
  <si>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</si>
  <si>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</si>
  <si>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</si>
  <si>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</si>
  <si>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</si>
  <si>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</si>
  <si>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</si>
  <si>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</si>
  <si>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Расчет массы выбросов ЗВ от стационарных и передвижных источников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</si>
  <si>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</si>
  <si>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</si>
  <si>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</si>
  <si>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</si>
  <si>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</si>
  <si>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</si>
  <si>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</si>
  <si>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</si>
  <si>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</si>
  <si>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</si>
  <si>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17, п.5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</si>
  <si>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</si>
  <si>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</si>
  <si>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</si>
  <si>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</si>
  <si>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</si>
  <si>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</si>
  <si>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</si>
  <si>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</si>
  <si>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</si>
  <si>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</si>
  <si>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</si>
  <si>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на каждую коммуникацию считать отдельно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</si>
  <si>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</si>
  <si>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</si>
  <si>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</si>
  <si>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до 5 отходов</t>
  </si>
  <si>
    <t>от 5 до 10 отходов</t>
  </si>
  <si>
    <t>свыше 10 отходов</t>
  </si>
  <si>
    <t>Ккор - на кол-во отходов</t>
  </si>
  <si>
    <t>Расчет объемов, описание условий хранения и утилизации промышленных отходов</t>
  </si>
  <si>
    <t>1вид отхода</t>
  </si>
  <si>
    <t>3.2.11. таблица 23 п.2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</si>
  <si>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</si>
  <si>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</si>
  <si>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</si>
  <si>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</si>
  <si>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</si>
  <si>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</si>
  <si>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</si>
  <si>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</si>
  <si>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Перекладка коммуникации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</si>
  <si>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</si>
  <si>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</si>
  <si>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</si>
  <si>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</si>
  <si>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</si>
  <si>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Охрана окружающей среды и Технологический регламент</t>
  </si>
  <si>
    <t>Сводный расчет</t>
  </si>
  <si>
    <t>Итого по Сводному расчету  в базовых ценах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</si>
  <si>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</si>
  <si>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МРР-3.2.63.02-16</t>
  </si>
  <si>
    <t>Итого по расчету в текущих ценах</t>
  </si>
  <si>
    <t>Всего по расчету, в т.ч. НДС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</si>
</sst>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#,##0.0"/>
    <numFmt numFmtId="168" formatCode="#,##0.0000"/>
    <numFmt numFmtId="169" formatCode="#,##0.00_р_."/>
    <numFmt numFmtId="170" formatCode="0.0000"/>
    <numFmt numFmtId="171" formatCode="#,##0.000000"/>
    <numFmt numFmtId="172" formatCode="_(* #,##0_);_(* \(#,##0\);_(* &quot;-&quot;??_);_(@_)"/>
  </numFmts>
  <fonts count="6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8">
    <xf numFmtId="0" fontId="0" fillId="0" borderId="0"/>
    <xf numFmtId="0" fontId="8" fillId="0" borderId="0"/>
    <xf numFmtId="0" fontId="8" fillId="0" borderId="0"/>
    <xf numFmtId="0" fontId="25" fillId="0" borderId="1">
      <alignment horizontal="left" vertical="center"/>
    </xf>
    <xf numFmtId="0" fontId="25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4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58" fillId="0" borderId="0">
      <alignment horizontal="right" vertical="center"/>
    </xf>
    <xf numFmtId="0" fontId="59" fillId="0" borderId="0">
      <alignment horizontal="lef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left" vertical="top"/>
    </xf>
    <xf numFmtId="0" fontId="60" fillId="0" borderId="0">
      <alignment horizontal="right" vertical="center"/>
    </xf>
    <xf numFmtId="0" fontId="60" fillId="0" borderId="0">
      <alignment horizontal="right" vertical="top"/>
    </xf>
    <xf numFmtId="0" fontId="60" fillId="0" borderId="0">
      <alignment horizontal="left" vertical="center"/>
    </xf>
    <xf numFmtId="0" fontId="60" fillId="0" borderId="0">
      <alignment horizontal="left" vertical="top"/>
    </xf>
    <xf numFmtId="0" fontId="61" fillId="0" borderId="0">
      <alignment horizontal="center" vertical="center"/>
    </xf>
    <xf numFmtId="0" fontId="60" fillId="0" borderId="0">
      <alignment horizontal="center" vertical="top"/>
    </xf>
    <xf numFmtId="0" fontId="62" fillId="0" borderId="0">
      <alignment horizontal="left" vertical="top"/>
    </xf>
    <xf numFmtId="0" fontId="60" fillId="0" borderId="0">
      <alignment horizontal="left" vertical="top"/>
    </xf>
    <xf numFmtId="0" fontId="1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9" fontId="12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694">
    <xf numFmtId="0" fontId="0" fillId="0" borderId="0" xfId="0"/>
    <xf numFmtId="0" fontId="9" fillId="0" borderId="0" xfId="15" applyFont="1" applyFill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0" fontId="9" fillId="0" borderId="0" xfId="5" applyFont="1" applyAlignment="1">
      <alignment horizontal="center" vertical="center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15" applyFont="1" applyBorder="1" applyAlignment="1" applyProtection="1">
      <alignment vertical="center"/>
      <protection locked="0"/>
    </xf>
    <xf numFmtId="4" fontId="9" fillId="0" borderId="0" xfId="15" applyNumberFormat="1" applyFont="1" applyBorder="1" applyAlignment="1" applyProtection="1">
      <alignment vertical="center"/>
      <protection locked="0"/>
    </xf>
    <xf numFmtId="0" fontId="26" fillId="0" borderId="0" xfId="0" applyFont="1" applyAlignment="1">
      <alignment wrapText="1"/>
    </xf>
    <xf numFmtId="4" fontId="26" fillId="0" borderId="3" xfId="4" applyNumberFormat="1" applyFont="1" applyBorder="1" applyAlignment="1">
      <alignment horizontal="right" vertical="center" wrapText="1"/>
    </xf>
    <xf numFmtId="164" fontId="15" fillId="0" borderId="0" xfId="5" applyNumberFormat="1" applyFont="1"/>
    <xf numFmtId="164" fontId="9" fillId="0" borderId="0" xfId="5" applyNumberFormat="1" applyFont="1"/>
    <xf numFmtId="165" fontId="9" fillId="0" borderId="0" xfId="5" applyNumberFormat="1" applyFont="1"/>
    <xf numFmtId="0" fontId="9" fillId="0" borderId="0" xfId="5" applyFont="1"/>
    <xf numFmtId="0" fontId="27" fillId="0" borderId="3" xfId="3" quotePrefix="1" applyFont="1" applyBorder="1" applyAlignment="1">
      <alignment horizontal="center" vertical="center" wrapText="1"/>
    </xf>
    <xf numFmtId="4" fontId="27" fillId="0" borderId="3" xfId="4" applyNumberFormat="1" applyFont="1" applyBorder="1" applyAlignment="1">
      <alignment horizontal="right" vertical="center" wrapText="1"/>
    </xf>
    <xf numFmtId="0" fontId="9" fillId="0" borderId="3" xfId="5" applyFont="1" applyBorder="1" applyAlignment="1">
      <alignment horizontal="center" vertical="center" wrapText="1"/>
    </xf>
    <xf numFmtId="0" fontId="10" fillId="3" borderId="3" xfId="5" applyFont="1" applyFill="1" applyBorder="1" applyAlignment="1">
      <alignment horizontal="center" vertical="center" wrapText="1"/>
    </xf>
    <xf numFmtId="0" fontId="13" fillId="0" borderId="0" xfId="5" applyFont="1"/>
    <xf numFmtId="0" fontId="9" fillId="0" borderId="0" xfId="5" applyFont="1" applyBorder="1" applyAlignment="1" applyProtection="1">
      <alignment vertical="center"/>
      <protection locked="0"/>
    </xf>
    <xf numFmtId="2" fontId="9" fillId="0" borderId="0" xfId="13" applyNumberFormat="1" applyFont="1" applyFill="1" applyBorder="1" applyAlignment="1" applyProtection="1">
      <alignment horizontal="left" vertical="center"/>
      <protection locked="0"/>
    </xf>
    <xf numFmtId="0" fontId="9" fillId="0" borderId="0" xfId="5" applyFont="1" applyAlignment="1">
      <alignment horizontal="left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/>
      <protection locked="0"/>
    </xf>
    <xf numFmtId="0" fontId="15" fillId="0" borderId="0" xfId="5" applyFont="1"/>
    <xf numFmtId="2" fontId="9" fillId="0" borderId="0" xfId="15" applyNumberFormat="1" applyFont="1" applyFill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left" vertical="center" wrapText="1"/>
      <protection locked="0"/>
    </xf>
    <xf numFmtId="0" fontId="15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14" fillId="0" borderId="0" xfId="13" applyNumberFormat="1" applyFont="1" applyBorder="1" applyAlignment="1" applyProtection="1">
      <alignment horizontal="center" vertical="center" wrapText="1"/>
      <protection locked="0"/>
    </xf>
    <xf numFmtId="0" fontId="14" fillId="0" borderId="0" xfId="13" applyFont="1" applyBorder="1" applyAlignment="1" applyProtection="1">
      <alignment horizontal="center" vertical="center" wrapText="1"/>
      <protection locked="0"/>
    </xf>
    <xf numFmtId="0" fontId="9" fillId="0" borderId="3" xfId="5" applyFont="1" applyBorder="1" applyAlignment="1">
      <alignment vertical="center" wrapText="1"/>
    </xf>
    <xf numFmtId="4" fontId="9" fillId="0" borderId="0" xfId="5" applyNumberFormat="1" applyFont="1" applyAlignment="1">
      <alignment horizontal="right"/>
    </xf>
    <xf numFmtId="0" fontId="9" fillId="0" borderId="0" xfId="5" applyFont="1" applyAlignment="1">
      <alignment horizontal="right"/>
    </xf>
    <xf numFmtId="164" fontId="9" fillId="0" borderId="0" xfId="5" applyNumberFormat="1" applyFont="1" applyAlignment="1">
      <alignment horizontal="right"/>
    </xf>
    <xf numFmtId="0" fontId="9" fillId="0" borderId="3" xfId="5" applyFont="1" applyBorder="1" applyAlignment="1">
      <alignment horizontal="center"/>
    </xf>
    <xf numFmtId="0" fontId="10" fillId="0" borderId="3" xfId="5" applyFont="1" applyBorder="1" applyAlignment="1"/>
    <xf numFmtId="3" fontId="9" fillId="0" borderId="3" xfId="5" applyNumberFormat="1" applyFont="1" applyBorder="1" applyAlignment="1">
      <alignment horizontal="center" vertical="center" wrapText="1"/>
    </xf>
    <xf numFmtId="0" fontId="9" fillId="0" borderId="3" xfId="5" applyFont="1" applyBorder="1" applyAlignment="1">
      <alignment horizontal="left" vertical="center" wrapText="1"/>
    </xf>
    <xf numFmtId="165" fontId="15" fillId="0" borderId="0" xfId="5" applyNumberFormat="1" applyFont="1"/>
    <xf numFmtId="164" fontId="15" fillId="3" borderId="0" xfId="5" applyNumberFormat="1" applyFont="1" applyFill="1"/>
    <xf numFmtId="164" fontId="9" fillId="3" borderId="0" xfId="5" applyNumberFormat="1" applyFont="1" applyFill="1"/>
    <xf numFmtId="165" fontId="9" fillId="3" borderId="0" xfId="5" applyNumberFormat="1" applyFont="1" applyFill="1"/>
    <xf numFmtId="0" fontId="9" fillId="3" borderId="0" xfId="5" applyFont="1" applyFill="1"/>
    <xf numFmtId="0" fontId="17" fillId="0" borderId="0" xfId="5" applyFont="1"/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4" fontId="10" fillId="0" borderId="0" xfId="15" applyNumberFormat="1" applyFont="1" applyFill="1" applyBorder="1" applyAlignment="1" applyProtection="1">
      <alignment horizontal="right"/>
      <protection locked="0"/>
    </xf>
    <xf numFmtId="0" fontId="9" fillId="0" borderId="0" xfId="5" applyFont="1" applyFill="1" applyAlignment="1"/>
    <xf numFmtId="0" fontId="18" fillId="0" borderId="0" xfId="12" applyFont="1"/>
    <xf numFmtId="0" fontId="10" fillId="0" borderId="0" xfId="15" applyFont="1" applyFill="1" applyBorder="1" applyAlignment="1" applyProtection="1">
      <alignment vertical="center"/>
      <protection locked="0"/>
    </xf>
    <xf numFmtId="0" fontId="15" fillId="0" borderId="0" xfId="15" applyFont="1" applyFill="1" applyBorder="1" applyAlignment="1" applyProtection="1">
      <alignment vertical="center"/>
      <protection locked="0"/>
    </xf>
    <xf numFmtId="0" fontId="10" fillId="0" borderId="0" xfId="13" applyFont="1" applyFill="1" applyBorder="1" applyAlignment="1" applyProtection="1">
      <alignment vertical="center"/>
      <protection locked="0"/>
    </xf>
    <xf numFmtId="0" fontId="10" fillId="0" borderId="0" xfId="15" applyFont="1"/>
    <xf numFmtId="0" fontId="15" fillId="0" borderId="0" xfId="5" applyFont="1" applyFill="1" applyAlignment="1"/>
    <xf numFmtId="4" fontId="15" fillId="0" borderId="0" xfId="5" applyNumberFormat="1" applyFont="1" applyFill="1" applyAlignment="1"/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4" fontId="19" fillId="0" borderId="36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167" fontId="20" fillId="0" borderId="0" xfId="0" applyNumberFormat="1" applyFont="1" applyFill="1" applyBorder="1" applyAlignment="1" applyProtection="1">
      <alignment horizontal="center"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 applyProtection="1">
      <alignment vertical="center" wrapText="1"/>
      <protection locked="0"/>
    </xf>
    <xf numFmtId="2" fontId="19" fillId="0" borderId="0" xfId="13" applyNumberFormat="1" applyFont="1" applyFill="1" applyBorder="1" applyAlignment="1" applyProtection="1">
      <alignment horizontal="left" vertical="center"/>
      <protection locked="0"/>
    </xf>
    <xf numFmtId="0" fontId="20" fillId="2" borderId="0" xfId="0" applyFont="1" applyFill="1" applyBorder="1" applyAlignment="1">
      <alignment horizontal="left" wrapText="1"/>
    </xf>
    <xf numFmtId="167" fontId="20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7" fontId="19" fillId="0" borderId="0" xfId="0" applyNumberFormat="1" applyFont="1" applyFill="1" applyBorder="1" applyAlignment="1" applyProtection="1">
      <alignment horizontal="center" vertical="center"/>
      <protection locked="0"/>
    </xf>
    <xf numFmtId="2" fontId="19" fillId="0" borderId="0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left" vertical="center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right" vertical="center"/>
      <protection locked="0"/>
    </xf>
    <xf numFmtId="2" fontId="20" fillId="0" borderId="0" xfId="0" applyNumberFormat="1" applyFont="1" applyFill="1" applyBorder="1" applyAlignment="1" applyProtection="1">
      <alignment vertical="center" wrapText="1"/>
      <protection locked="0"/>
    </xf>
    <xf numFmtId="0" fontId="21" fillId="0" borderId="19" xfId="10" applyFont="1" applyFill="1" applyBorder="1" applyAlignment="1">
      <alignment horizontal="centerContinuous" vertical="center" wrapText="1"/>
    </xf>
    <xf numFmtId="4" fontId="2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4" xfId="0" applyFont="1" applyFill="1" applyBorder="1" applyAlignment="1" applyProtection="1">
      <alignment horizontal="center" vertical="center" wrapText="1"/>
      <protection locked="0"/>
    </xf>
    <xf numFmtId="2" fontId="2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9" xfId="0" applyFont="1" applyFill="1" applyBorder="1" applyAlignment="1">
      <alignment horizontal="center" vertical="center"/>
    </xf>
    <xf numFmtId="0" fontId="20" fillId="0" borderId="5" xfId="0" applyFont="1" applyFill="1" applyBorder="1" applyAlignment="1" applyProtection="1">
      <alignment horizontal="left" vertical="top" wrapText="1"/>
      <protection locked="0"/>
    </xf>
    <xf numFmtId="0" fontId="19" fillId="0" borderId="5" xfId="0" applyFont="1" applyFill="1" applyBorder="1" applyAlignment="1" applyProtection="1">
      <alignment horizontal="left" vertical="top" wrapText="1"/>
      <protection locked="0"/>
    </xf>
    <xf numFmtId="0" fontId="20" fillId="0" borderId="5" xfId="0" applyFont="1" applyFill="1" applyBorder="1" applyAlignment="1" applyProtection="1">
      <alignment horizontal="center" vertical="top" wrapText="1"/>
      <protection locked="0"/>
    </xf>
    <xf numFmtId="0" fontId="20" fillId="0" borderId="4" xfId="0" applyFont="1" applyFill="1" applyBorder="1" applyAlignment="1" applyProtection="1">
      <alignment horizontal="left" vertical="top" wrapText="1"/>
      <protection locked="0"/>
    </xf>
    <xf numFmtId="0" fontId="20" fillId="0" borderId="4" xfId="0" applyFont="1" applyFill="1" applyBorder="1" applyAlignment="1" applyProtection="1">
      <alignment vertical="top" wrapText="1"/>
      <protection locked="0"/>
    </xf>
    <xf numFmtId="166" fontId="19" fillId="0" borderId="4" xfId="0" applyNumberFormat="1" applyFont="1" applyFill="1" applyBorder="1" applyAlignment="1" applyProtection="1">
      <alignment horizontal="center" vertical="top" wrapText="1"/>
      <protection locked="0"/>
    </xf>
    <xf numFmtId="4" fontId="19" fillId="0" borderId="36" xfId="0" applyNumberFormat="1" applyFont="1" applyFill="1" applyBorder="1" applyAlignment="1" applyProtection="1">
      <alignment horizontal="center" vertical="center"/>
    </xf>
    <xf numFmtId="0" fontId="19" fillId="0" borderId="4" xfId="0" applyFont="1" applyFill="1" applyBorder="1" applyAlignment="1" applyProtection="1">
      <alignment horizontal="right" vertical="top" wrapText="1"/>
      <protection locked="0"/>
    </xf>
    <xf numFmtId="167" fontId="19" fillId="0" borderId="4" xfId="0" applyNumberFormat="1" applyFont="1" applyFill="1" applyBorder="1" applyAlignment="1" applyProtection="1">
      <alignment horizontal="center" vertical="top" wrapText="1"/>
      <protection locked="0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9" fillId="0" borderId="4" xfId="0" applyFont="1" applyFill="1" applyBorder="1" applyAlignment="1" applyProtection="1">
      <alignment horizontal="center" vertical="top" wrapText="1"/>
      <protection locked="0"/>
    </xf>
    <xf numFmtId="0" fontId="19" fillId="0" borderId="19" xfId="0" applyFont="1" applyFill="1" applyBorder="1" applyAlignment="1" applyProtection="1">
      <alignment vertical="center"/>
      <protection locked="0"/>
    </xf>
    <xf numFmtId="0" fontId="20" fillId="0" borderId="8" xfId="0" applyFont="1" applyFill="1" applyBorder="1" applyAlignment="1" applyProtection="1">
      <alignment vertical="center"/>
      <protection locked="0"/>
    </xf>
    <xf numFmtId="167" fontId="20" fillId="0" borderId="5" xfId="0" applyNumberFormat="1" applyFont="1" applyFill="1" applyBorder="1" applyAlignment="1" applyProtection="1">
      <alignment horizontal="center" vertical="top" wrapText="1"/>
      <protection locked="0"/>
    </xf>
    <xf numFmtId="4" fontId="19" fillId="0" borderId="5" xfId="0" applyNumberFormat="1" applyFont="1" applyFill="1" applyBorder="1" applyAlignment="1" applyProtection="1">
      <alignment horizontal="center" vertical="center"/>
      <protection locked="0"/>
    </xf>
    <xf numFmtId="0" fontId="20" fillId="0" borderId="5" xfId="0" quotePrefix="1" applyFont="1" applyFill="1" applyBorder="1" applyAlignment="1" applyProtection="1">
      <alignment horizontal="left" vertical="top" wrapText="1"/>
      <protection locked="0"/>
    </xf>
    <xf numFmtId="2" fontId="19" fillId="0" borderId="5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/>
      <protection locked="0"/>
    </xf>
    <xf numFmtId="4" fontId="20" fillId="0" borderId="9" xfId="0" applyNumberFormat="1" applyFont="1" applyFill="1" applyBorder="1" applyAlignment="1" applyProtection="1">
      <alignment horizontal="center" vertical="center"/>
      <protection locked="0"/>
    </xf>
    <xf numFmtId="0" fontId="19" fillId="0" borderId="31" xfId="1" applyFont="1" applyFill="1" applyBorder="1" applyAlignment="1" applyProtection="1">
      <alignment horizontal="center" vertical="center" wrapText="1"/>
      <protection locked="0"/>
    </xf>
    <xf numFmtId="0" fontId="20" fillId="0" borderId="23" xfId="15" applyFont="1" applyFill="1" applyBorder="1" applyAlignment="1">
      <alignment horizontal="left" vertical="center"/>
    </xf>
    <xf numFmtId="0" fontId="20" fillId="0" borderId="23" xfId="15" applyFont="1" applyFill="1" applyBorder="1" applyAlignment="1">
      <alignment horizontal="center" vertical="center"/>
    </xf>
    <xf numFmtId="0" fontId="19" fillId="0" borderId="32" xfId="1" applyFont="1" applyFill="1" applyBorder="1" applyAlignment="1" applyProtection="1">
      <alignment horizontal="center" vertical="center" wrapText="1"/>
      <protection locked="0"/>
    </xf>
    <xf numFmtId="0" fontId="19" fillId="0" borderId="15" xfId="1" applyFont="1" applyFill="1" applyBorder="1" applyAlignment="1" applyProtection="1">
      <alignment horizontal="center" vertical="center" wrapText="1"/>
      <protection locked="0"/>
    </xf>
    <xf numFmtId="0" fontId="20" fillId="0" borderId="3" xfId="15" applyFont="1" applyFill="1" applyBorder="1" applyAlignment="1">
      <alignment horizontal="left" vertical="center"/>
    </xf>
    <xf numFmtId="0" fontId="20" fillId="0" borderId="3" xfId="15" applyFont="1" applyFill="1" applyBorder="1" applyAlignment="1">
      <alignment horizontal="center" vertical="center"/>
    </xf>
    <xf numFmtId="0" fontId="19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27" xfId="1" applyFont="1" applyFill="1" applyBorder="1" applyAlignment="1" applyProtection="1">
      <alignment horizontal="center" vertical="center" wrapText="1"/>
      <protection locked="0"/>
    </xf>
    <xf numFmtId="0" fontId="20" fillId="0" borderId="37" xfId="15" applyFont="1" applyFill="1" applyBorder="1" applyAlignment="1">
      <alignment horizontal="left" vertical="center"/>
    </xf>
    <xf numFmtId="0" fontId="20" fillId="0" borderId="37" xfId="15" applyFont="1" applyFill="1" applyBorder="1" applyAlignment="1">
      <alignment horizontal="center" vertical="center"/>
    </xf>
    <xf numFmtId="0" fontId="19" fillId="0" borderId="34" xfId="1" applyFont="1" applyFill="1" applyBorder="1" applyAlignment="1" applyProtection="1">
      <alignment horizontal="center" vertical="center" wrapText="1"/>
      <protection locked="0"/>
    </xf>
    <xf numFmtId="0" fontId="19" fillId="0" borderId="39" xfId="0" applyFont="1" applyFill="1" applyBorder="1"/>
    <xf numFmtId="0" fontId="19" fillId="0" borderId="0" xfId="0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vertical="center" wrapText="1"/>
    </xf>
    <xf numFmtId="2" fontId="19" fillId="0" borderId="28" xfId="0" applyNumberFormat="1" applyFont="1" applyFill="1" applyBorder="1" applyAlignment="1" applyProtection="1">
      <alignment vertical="center"/>
      <protection locked="0"/>
    </xf>
    <xf numFmtId="0" fontId="19" fillId="0" borderId="20" xfId="15" applyFont="1" applyBorder="1" applyAlignment="1" applyProtection="1">
      <alignment horizontal="center" vertical="center"/>
      <protection locked="0"/>
    </xf>
    <xf numFmtId="167" fontId="20" fillId="0" borderId="3" xfId="15" applyNumberFormat="1" applyFont="1" applyBorder="1" applyAlignment="1" applyProtection="1">
      <alignment horizontal="center" vertical="top" wrapText="1"/>
      <protection locked="0"/>
    </xf>
    <xf numFmtId="4" fontId="19" fillId="2" borderId="3" xfId="11" applyNumberFormat="1" applyFont="1" applyFill="1" applyBorder="1" applyAlignment="1">
      <alignment horizontal="center" vertical="center" wrapText="1"/>
    </xf>
    <xf numFmtId="2" fontId="19" fillId="0" borderId="3" xfId="15" applyNumberFormat="1" applyFont="1" applyBorder="1" applyAlignment="1" applyProtection="1">
      <alignment horizontal="center" vertical="center" wrapText="1"/>
      <protection locked="0"/>
    </xf>
    <xf numFmtId="0" fontId="19" fillId="0" borderId="3" xfId="15" applyFont="1" applyFill="1" applyBorder="1" applyAlignment="1" applyProtection="1">
      <alignment horizontal="center" vertical="center" wrapText="1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0" fontId="19" fillId="0" borderId="21" xfId="15" applyFont="1" applyBorder="1" applyAlignment="1" applyProtection="1">
      <alignment horizontal="center" vertical="center"/>
      <protection locked="0"/>
    </xf>
    <xf numFmtId="167" fontId="20" fillId="0" borderId="37" xfId="15" applyNumberFormat="1" applyFont="1" applyBorder="1" applyAlignment="1" applyProtection="1">
      <alignment horizontal="center" vertical="top" wrapText="1"/>
      <protection locked="0"/>
    </xf>
    <xf numFmtId="4" fontId="19" fillId="2" borderId="37" xfId="11" applyNumberFormat="1" applyFont="1" applyFill="1" applyBorder="1" applyAlignment="1">
      <alignment horizontal="center" vertical="center" wrapText="1"/>
    </xf>
    <xf numFmtId="0" fontId="19" fillId="0" borderId="19" xfId="15" applyFont="1" applyFill="1" applyBorder="1" applyAlignment="1">
      <alignment vertical="center"/>
    </xf>
    <xf numFmtId="0" fontId="8" fillId="0" borderId="0" xfId="0" applyFont="1" applyFill="1"/>
    <xf numFmtId="0" fontId="19" fillId="0" borderId="0" xfId="0" applyFont="1" applyFill="1"/>
    <xf numFmtId="0" fontId="20" fillId="0" borderId="10" xfId="0" applyFont="1" applyFill="1" applyBorder="1" applyAlignment="1" applyProtection="1">
      <alignment vertical="center"/>
      <protection locked="0"/>
    </xf>
    <xf numFmtId="2" fontId="20" fillId="0" borderId="8" xfId="0" applyNumberFormat="1" applyFont="1" applyFill="1" applyBorder="1" applyAlignment="1" applyProtection="1">
      <alignment vertical="center"/>
      <protection locked="0"/>
    </xf>
    <xf numFmtId="167" fontId="20" fillId="0" borderId="26" xfId="0" applyNumberFormat="1" applyFont="1" applyFill="1" applyBorder="1" applyAlignment="1" applyProtection="1">
      <alignment horizontal="center" vertical="center"/>
      <protection locked="0"/>
    </xf>
    <xf numFmtId="2" fontId="20" fillId="0" borderId="26" xfId="0" applyNumberFormat="1" applyFont="1" applyFill="1" applyBorder="1" applyAlignment="1" applyProtection="1">
      <alignment vertical="center"/>
      <protection locked="0"/>
    </xf>
    <xf numFmtId="0" fontId="19" fillId="0" borderId="0" xfId="15" applyFont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0" fontId="19" fillId="0" borderId="0" xfId="15" applyFont="1" applyBorder="1" applyAlignment="1" applyProtection="1">
      <alignment horizontal="left" vertical="top" wrapText="1"/>
      <protection locked="0"/>
    </xf>
    <xf numFmtId="169" fontId="19" fillId="0" borderId="0" xfId="15" applyNumberFormat="1" applyFont="1" applyBorder="1" applyAlignment="1" applyProtection="1">
      <alignment horizontal="right" vertical="center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/>
    <xf numFmtId="2" fontId="20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9" fillId="0" borderId="0" xfId="0" applyNumberFormat="1" applyFont="1" applyFill="1" applyBorder="1" applyAlignment="1" applyProtection="1">
      <alignment horizontal="center" vertical="center"/>
      <protection locked="0"/>
    </xf>
    <xf numFmtId="4" fontId="20" fillId="0" borderId="0" xfId="0" applyNumberFormat="1" applyFont="1" applyFill="1" applyBorder="1" applyAlignment="1">
      <alignment horizontal="center" vertical="center"/>
    </xf>
    <xf numFmtId="0" fontId="19" fillId="0" borderId="0" xfId="5" applyFont="1"/>
    <xf numFmtId="0" fontId="19" fillId="0" borderId="0" xfId="5" applyFont="1" applyAlignment="1">
      <alignment horizontal="center" vertical="center"/>
    </xf>
    <xf numFmtId="0" fontId="12" fillId="0" borderId="0" xfId="5" applyFont="1"/>
    <xf numFmtId="0" fontId="19" fillId="0" borderId="0" xfId="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left" vertical="center"/>
      <protection locked="0"/>
    </xf>
    <xf numFmtId="0" fontId="19" fillId="0" borderId="0" xfId="5" applyFont="1" applyAlignment="1">
      <alignment horizontal="left"/>
    </xf>
    <xf numFmtId="2" fontId="19" fillId="0" borderId="0" xfId="15" applyNumberFormat="1" applyFont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0" fontId="28" fillId="0" borderId="3" xfId="15" applyFont="1" applyBorder="1" applyAlignment="1" applyProtection="1">
      <alignment horizontal="center" vertical="center" wrapText="1"/>
      <protection locked="0"/>
    </xf>
    <xf numFmtId="2" fontId="20" fillId="0" borderId="0" xfId="15" applyNumberFormat="1" applyFont="1" applyBorder="1" applyAlignment="1" applyProtection="1">
      <alignment horizontal="center" vertical="center" wrapText="1"/>
      <protection locked="0"/>
    </xf>
    <xf numFmtId="0" fontId="19" fillId="0" borderId="10" xfId="15" applyFont="1" applyFill="1" applyBorder="1"/>
    <xf numFmtId="2" fontId="20" fillId="0" borderId="5" xfId="8" applyNumberFormat="1" applyFont="1" applyFill="1" applyBorder="1" applyAlignment="1" applyProtection="1">
      <alignment vertical="center" wrapText="1"/>
      <protection locked="0"/>
    </xf>
    <xf numFmtId="166" fontId="30" fillId="0" borderId="5" xfId="8" applyNumberFormat="1" applyFont="1" applyFill="1" applyBorder="1" applyAlignment="1" applyProtection="1">
      <alignment horizontal="center" vertical="center"/>
      <protection locked="0"/>
    </xf>
    <xf numFmtId="0" fontId="19" fillId="0" borderId="8" xfId="15" applyFont="1" applyBorder="1" applyAlignment="1" applyProtection="1">
      <alignment horizontal="center" vertical="center" wrapText="1"/>
      <protection locked="0"/>
    </xf>
    <xf numFmtId="4" fontId="20" fillId="0" borderId="9" xfId="15" applyNumberFormat="1" applyFont="1" applyBorder="1" applyAlignment="1" applyProtection="1">
      <alignment horizontal="right" vertical="center"/>
    </xf>
    <xf numFmtId="0" fontId="20" fillId="0" borderId="10" xfId="15" applyFont="1" applyBorder="1" applyAlignment="1" applyProtection="1">
      <alignment vertical="center"/>
      <protection locked="0"/>
    </xf>
    <xf numFmtId="2" fontId="20" fillId="0" borderId="8" xfId="15" applyNumberFormat="1" applyFont="1" applyBorder="1" applyAlignment="1" applyProtection="1">
      <alignment vertical="center"/>
      <protection locked="0"/>
    </xf>
    <xf numFmtId="2" fontId="20" fillId="0" borderId="26" xfId="15" applyNumberFormat="1" applyFont="1" applyBorder="1" applyAlignment="1" applyProtection="1">
      <alignment vertical="center"/>
      <protection locked="0"/>
    </xf>
    <xf numFmtId="4" fontId="20" fillId="0" borderId="9" xfId="15" applyNumberFormat="1" applyFont="1" applyBorder="1" applyAlignment="1" applyProtection="1">
      <alignment horizontal="right" vertical="center"/>
      <protection locked="0"/>
    </xf>
    <xf numFmtId="0" fontId="20" fillId="0" borderId="10" xfId="15" applyFont="1" applyFill="1" applyBorder="1" applyAlignment="1" applyProtection="1">
      <alignment vertical="center"/>
      <protection locked="0"/>
    </xf>
    <xf numFmtId="2" fontId="19" fillId="0" borderId="5" xfId="15" applyNumberFormat="1" applyFont="1" applyFill="1" applyBorder="1" applyAlignment="1" applyProtection="1">
      <alignment vertical="center" wrapText="1"/>
      <protection locked="0"/>
    </xf>
    <xf numFmtId="2" fontId="19" fillId="0" borderId="8" xfId="15" applyNumberFormat="1" applyFont="1" applyFill="1" applyBorder="1" applyAlignment="1" applyProtection="1">
      <alignment horizontal="center" vertical="center"/>
      <protection locked="0"/>
    </xf>
    <xf numFmtId="0" fontId="19" fillId="0" borderId="8" xfId="15" applyFont="1" applyFill="1" applyBorder="1" applyAlignment="1" applyProtection="1">
      <alignment horizontal="center" vertical="center" wrapText="1"/>
      <protection locked="0"/>
    </xf>
    <xf numFmtId="4" fontId="20" fillId="0" borderId="9" xfId="15" applyNumberFormat="1" applyFont="1" applyFill="1" applyBorder="1" applyAlignment="1" applyProtection="1">
      <alignment horizontal="right" vertical="center"/>
    </xf>
    <xf numFmtId="4" fontId="31" fillId="0" borderId="0" xfId="15" applyNumberFormat="1" applyFont="1" applyFill="1" applyBorder="1" applyAlignment="1" applyProtection="1">
      <alignment horizontal="center" vertical="center"/>
      <protection locked="0"/>
    </xf>
    <xf numFmtId="0" fontId="31" fillId="0" borderId="27" xfId="15" applyFont="1" applyBorder="1" applyAlignment="1" applyProtection="1">
      <alignment vertical="center"/>
      <protection locked="0"/>
    </xf>
    <xf numFmtId="2" fontId="20" fillId="0" borderId="8" xfId="15" applyNumberFormat="1" applyFont="1" applyBorder="1" applyAlignment="1" applyProtection="1">
      <alignment horizontal="left" vertical="center"/>
      <protection locked="0"/>
    </xf>
    <xf numFmtId="2" fontId="20" fillId="0" borderId="26" xfId="15" applyNumberFormat="1" applyFont="1" applyBorder="1" applyAlignment="1" applyProtection="1">
      <alignment horizontal="left" vertical="center"/>
      <protection locked="0"/>
    </xf>
    <xf numFmtId="2" fontId="20" fillId="0" borderId="26" xfId="15" applyNumberFormat="1" applyFont="1" applyBorder="1" applyAlignment="1" applyProtection="1">
      <alignment horizontal="left" vertical="center" wrapText="1"/>
      <protection locked="0"/>
    </xf>
    <xf numFmtId="2" fontId="19" fillId="0" borderId="5" xfId="15" applyNumberFormat="1" applyFont="1" applyBorder="1" applyAlignment="1" applyProtection="1">
      <alignment horizontal="center" vertical="center"/>
      <protection locked="0"/>
    </xf>
    <xf numFmtId="4" fontId="31" fillId="0" borderId="0" xfId="15" applyNumberFormat="1" applyFont="1" applyBorder="1" applyAlignment="1" applyProtection="1">
      <alignment horizontal="left" vertical="center"/>
      <protection locked="0"/>
    </xf>
    <xf numFmtId="0" fontId="30" fillId="0" borderId="10" xfId="15" applyFont="1" applyBorder="1" applyAlignment="1" applyProtection="1">
      <alignment vertical="center"/>
      <protection locked="0"/>
    </xf>
    <xf numFmtId="0" fontId="19" fillId="0" borderId="18" xfId="15" applyFont="1" applyBorder="1" applyAlignment="1" applyProtection="1">
      <alignment horizontal="center" vertical="center" wrapText="1"/>
      <protection locked="0"/>
    </xf>
    <xf numFmtId="0" fontId="19" fillId="0" borderId="0" xfId="15" applyFont="1" applyBorder="1" applyAlignment="1" applyProtection="1">
      <alignment vertical="center" wrapText="1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13" applyFont="1" applyFill="1" applyBorder="1" applyAlignment="1" applyProtection="1">
      <alignment vertical="center"/>
      <protection locked="0"/>
    </xf>
    <xf numFmtId="0" fontId="19" fillId="0" borderId="0" xfId="5" applyFont="1" applyFill="1" applyAlignment="1">
      <alignment horizontal="left" vertical="center"/>
    </xf>
    <xf numFmtId="4" fontId="19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13" applyFont="1" applyFill="1" applyBorder="1" applyAlignment="1" applyProtection="1">
      <alignment vertical="center" wrapText="1"/>
      <protection locked="0"/>
    </xf>
    <xf numFmtId="4" fontId="19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13" applyFont="1" applyFill="1" applyBorder="1" applyAlignment="1" applyProtection="1">
      <alignment horizontal="center" vertical="center" wrapText="1"/>
      <protection locked="0"/>
    </xf>
    <xf numFmtId="2" fontId="19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32" fillId="0" borderId="0" xfId="13" applyNumberFormat="1" applyFont="1" applyFill="1" applyBorder="1" applyAlignment="1" applyProtection="1">
      <alignment vertical="center"/>
      <protection locked="0"/>
    </xf>
    <xf numFmtId="4" fontId="19" fillId="0" borderId="0" xfId="5" applyNumberFormat="1" applyFont="1" applyFill="1" applyBorder="1" applyAlignment="1" applyProtection="1">
      <alignment vertical="center"/>
      <protection locked="0"/>
    </xf>
    <xf numFmtId="0" fontId="20" fillId="0" borderId="0" xfId="5" applyFont="1" applyFill="1" applyAlignment="1">
      <alignment vertical="center" wrapText="1"/>
    </xf>
    <xf numFmtId="0" fontId="19" fillId="0" borderId="0" xfId="5" applyFont="1" applyFill="1" applyAlignment="1">
      <alignment vertical="center"/>
    </xf>
    <xf numFmtId="2" fontId="19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34" fillId="0" borderId="0" xfId="10" applyFont="1" applyFill="1" applyAlignment="1">
      <alignment vertical="center"/>
    </xf>
    <xf numFmtId="0" fontId="33" fillId="0" borderId="0" xfId="10" applyFont="1" applyFill="1" applyAlignment="1">
      <alignment horizontal="center" vertical="center"/>
    </xf>
    <xf numFmtId="2" fontId="33" fillId="0" borderId="0" xfId="10" applyNumberFormat="1" applyFont="1" applyFill="1" applyAlignment="1">
      <alignment horizontal="center" vertical="center"/>
    </xf>
    <xf numFmtId="0" fontId="33" fillId="0" borderId="3" xfId="10" applyFont="1" applyFill="1" applyBorder="1" applyAlignment="1">
      <alignment horizontal="centerContinuous" vertical="center" wrapText="1"/>
    </xf>
    <xf numFmtId="0" fontId="33" fillId="0" borderId="3" xfId="10" applyNumberFormat="1" applyFont="1" applyFill="1" applyBorder="1" applyAlignment="1">
      <alignment horizontal="center" vertical="center" wrapText="1"/>
    </xf>
    <xf numFmtId="0" fontId="21" fillId="0" borderId="3" xfId="10" applyFont="1" applyFill="1" applyBorder="1" applyAlignment="1">
      <alignment vertical="center"/>
    </xf>
    <xf numFmtId="2" fontId="21" fillId="0" borderId="3" xfId="10" applyNumberFormat="1" applyFont="1" applyFill="1" applyBorder="1" applyAlignment="1">
      <alignment vertical="center"/>
    </xf>
    <xf numFmtId="0" fontId="21" fillId="0" borderId="3" xfId="10" applyFont="1" applyFill="1" applyBorder="1" applyAlignment="1">
      <alignment vertical="center" wrapText="1"/>
    </xf>
    <xf numFmtId="0" fontId="21" fillId="0" borderId="3" xfId="10" applyFont="1" applyFill="1" applyBorder="1" applyAlignment="1">
      <alignment horizontal="center" vertical="center"/>
    </xf>
    <xf numFmtId="0" fontId="33" fillId="0" borderId="3" xfId="10" applyFont="1" applyFill="1" applyBorder="1" applyAlignment="1">
      <alignment vertical="center" wrapText="1"/>
    </xf>
    <xf numFmtId="4" fontId="33" fillId="0" borderId="3" xfId="10" applyNumberFormat="1" applyFont="1" applyFill="1" applyBorder="1" applyAlignment="1">
      <alignment vertical="center"/>
    </xf>
    <xf numFmtId="2" fontId="30" fillId="0" borderId="3" xfId="0" applyNumberFormat="1" applyFont="1" applyFill="1" applyBorder="1" applyAlignment="1" applyProtection="1">
      <alignment vertical="center" wrapText="1"/>
      <protection locked="0"/>
    </xf>
    <xf numFmtId="4" fontId="30" fillId="0" borderId="3" xfId="0" applyNumberFormat="1" applyFont="1" applyFill="1" applyBorder="1" applyAlignment="1" applyProtection="1">
      <alignment horizontal="center" vertical="center"/>
      <protection locked="0"/>
    </xf>
    <xf numFmtId="0" fontId="21" fillId="0" borderId="6" xfId="10" applyFont="1" applyFill="1" applyBorder="1" applyAlignment="1">
      <alignment vertical="center"/>
    </xf>
    <xf numFmtId="0" fontId="21" fillId="0" borderId="6" xfId="10" applyFont="1" applyFill="1" applyBorder="1" applyAlignment="1">
      <alignment vertical="center" wrapText="1"/>
    </xf>
    <xf numFmtId="2" fontId="21" fillId="0" borderId="6" xfId="10" applyNumberFormat="1" applyFont="1" applyFill="1" applyBorder="1" applyAlignment="1">
      <alignment vertical="center"/>
    </xf>
    <xf numFmtId="0" fontId="21" fillId="0" borderId="6" xfId="10" applyFont="1" applyFill="1" applyBorder="1" applyAlignment="1">
      <alignment horizontal="center" vertical="center"/>
    </xf>
    <xf numFmtId="4" fontId="21" fillId="0" borderId="6" xfId="10" applyNumberFormat="1" applyFont="1" applyFill="1" applyBorder="1" applyAlignment="1">
      <alignment vertical="center"/>
    </xf>
    <xf numFmtId="0" fontId="19" fillId="0" borderId="0" xfId="15" applyFont="1" applyBorder="1" applyAlignment="1" applyProtection="1">
      <alignment horizontal="right" vertical="center"/>
      <protection locked="0"/>
    </xf>
    <xf numFmtId="0" fontId="19" fillId="0" borderId="28" xfId="15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vertical="center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4" fontId="20" fillId="0" borderId="0" xfId="0" applyNumberFormat="1" applyFont="1" applyBorder="1" applyAlignment="1" applyProtection="1">
      <alignment vertical="center"/>
      <protection locked="0"/>
    </xf>
    <xf numFmtId="2" fontId="20" fillId="0" borderId="0" xfId="15" applyNumberFormat="1" applyFont="1" applyFill="1" applyBorder="1" applyAlignment="1" applyProtection="1">
      <alignment horizontal="left" vertical="center"/>
      <protection locked="0"/>
    </xf>
    <xf numFmtId="4" fontId="20" fillId="0" borderId="0" xfId="15" applyNumberFormat="1" applyFont="1" applyFill="1" applyBorder="1" applyAlignment="1" applyProtection="1">
      <alignment vertical="center"/>
      <protection locked="0"/>
    </xf>
    <xf numFmtId="0" fontId="20" fillId="0" borderId="0" xfId="15" applyFont="1" applyFill="1" applyBorder="1" applyAlignment="1" applyProtection="1">
      <alignment horizontal="right" vertical="center"/>
      <protection locked="0"/>
    </xf>
    <xf numFmtId="2" fontId="20" fillId="0" borderId="0" xfId="0" applyNumberFormat="1" applyFont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4" fontId="20" fillId="0" borderId="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36" fillId="0" borderId="0" xfId="0" applyFont="1" applyBorder="1" applyAlignment="1" applyProtection="1">
      <alignment vertical="center"/>
      <protection locked="0"/>
    </xf>
    <xf numFmtId="2" fontId="20" fillId="0" borderId="0" xfId="15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2" fontId="20" fillId="0" borderId="28" xfId="15" applyNumberFormat="1" applyFont="1" applyFill="1" applyBorder="1" applyAlignment="1" applyProtection="1">
      <alignment horizontal="center" vertical="center"/>
      <protection locked="0"/>
    </xf>
    <xf numFmtId="4" fontId="20" fillId="0" borderId="28" xfId="15" applyNumberFormat="1" applyFont="1" applyFill="1" applyBorder="1" applyAlignment="1" applyProtection="1">
      <alignment horizontal="right" vertical="center"/>
      <protection locked="0"/>
    </xf>
    <xf numFmtId="4" fontId="20" fillId="0" borderId="0" xfId="15" applyNumberFormat="1" applyFont="1" applyFill="1" applyBorder="1" applyAlignment="1" applyProtection="1">
      <alignment horizontal="right" vertical="center"/>
      <protection locked="0"/>
    </xf>
    <xf numFmtId="2" fontId="20" fillId="0" borderId="0" xfId="0" applyNumberFormat="1" applyFont="1" applyBorder="1" applyAlignment="1" applyProtection="1">
      <alignment horizontal="center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7" fillId="0" borderId="0" xfId="0" applyFont="1"/>
    <xf numFmtId="0" fontId="19" fillId="0" borderId="0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Fill="1" applyBorder="1" applyAlignment="1" applyProtection="1">
      <alignment horizontal="left" vertical="top" wrapText="1"/>
      <protection locked="0"/>
    </xf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/>
    </xf>
    <xf numFmtId="0" fontId="20" fillId="0" borderId="3" xfId="15" applyFont="1" applyBorder="1" applyAlignment="1" applyProtection="1">
      <alignment vertical="center" wrapText="1"/>
      <protection locked="0"/>
    </xf>
    <xf numFmtId="4" fontId="20" fillId="0" borderId="3" xfId="15" applyNumberFormat="1" applyFont="1" applyBorder="1" applyAlignment="1" applyProtection="1">
      <alignment horizontal="center" vertical="center" wrapText="1"/>
      <protection locked="0"/>
    </xf>
    <xf numFmtId="2" fontId="20" fillId="0" borderId="3" xfId="15" applyNumberFormat="1" applyFont="1" applyBorder="1" applyAlignment="1" applyProtection="1">
      <alignment horizontal="center" vertical="center" wrapText="1"/>
      <protection locked="0"/>
    </xf>
    <xf numFmtId="4" fontId="20" fillId="0" borderId="3" xfId="15" applyNumberFormat="1" applyFont="1" applyBorder="1" applyAlignment="1" applyProtection="1">
      <alignment vertical="center" wrapText="1"/>
      <protection locked="0"/>
    </xf>
    <xf numFmtId="0" fontId="20" fillId="0" borderId="3" xfId="15" applyFont="1" applyFill="1" applyBorder="1" applyAlignment="1" applyProtection="1">
      <alignment vertical="center" wrapText="1"/>
      <protection locked="0"/>
    </xf>
    <xf numFmtId="4" fontId="19" fillId="0" borderId="3" xfId="0" applyNumberFormat="1" applyFont="1" applyFill="1" applyBorder="1" applyAlignment="1">
      <alignment vertical="center"/>
    </xf>
    <xf numFmtId="0" fontId="20" fillId="0" borderId="3" xfId="15" applyFont="1" applyFill="1" applyBorder="1" applyAlignment="1" applyProtection="1">
      <alignment horizontal="center" vertical="center" wrapText="1"/>
      <protection locked="0"/>
    </xf>
    <xf numFmtId="2" fontId="20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20" fillId="0" borderId="3" xfId="15" applyNumberFormat="1" applyFont="1" applyFill="1" applyBorder="1" applyAlignment="1" applyProtection="1">
      <alignment vertical="center" wrapText="1"/>
      <protection locked="0"/>
    </xf>
    <xf numFmtId="0" fontId="20" fillId="0" borderId="3" xfId="15" applyFont="1" applyBorder="1" applyAlignment="1" applyProtection="1">
      <alignment horizontal="center" vertical="center"/>
      <protection locked="0"/>
    </xf>
    <xf numFmtId="4" fontId="19" fillId="0" borderId="3" xfId="15" applyNumberFormat="1" applyFont="1" applyBorder="1" applyAlignment="1" applyProtection="1">
      <alignment vertical="center"/>
      <protection locked="0"/>
    </xf>
    <xf numFmtId="2" fontId="20" fillId="0" borderId="3" xfId="15" applyNumberFormat="1" applyFont="1" applyFill="1" applyBorder="1" applyAlignment="1" applyProtection="1">
      <alignment vertical="center" wrapText="1"/>
      <protection locked="0"/>
    </xf>
    <xf numFmtId="166" fontId="19" fillId="0" borderId="3" xfId="15" applyNumberFormat="1" applyFont="1" applyFill="1" applyBorder="1" applyAlignment="1" applyProtection="1">
      <alignment horizontal="center" vertical="center"/>
      <protection locked="0"/>
    </xf>
    <xf numFmtId="0" fontId="19" fillId="0" borderId="3" xfId="15" applyFont="1" applyBorder="1" applyAlignment="1" applyProtection="1">
      <alignment horizontal="center" vertical="center" wrapText="1"/>
      <protection locked="0"/>
    </xf>
    <xf numFmtId="0" fontId="19" fillId="0" borderId="0" xfId="0" applyFont="1" applyFill="1" applyAlignment="1">
      <alignment vertical="center"/>
    </xf>
    <xf numFmtId="4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8" xfId="0" quotePrefix="1" applyFont="1" applyFill="1" applyBorder="1" applyAlignment="1" applyProtection="1">
      <alignment horizontal="center" vertical="top"/>
      <protection locked="0"/>
    </xf>
    <xf numFmtId="4" fontId="20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center"/>
    </xf>
    <xf numFmtId="4" fontId="28" fillId="0" borderId="0" xfId="15" applyNumberFormat="1" applyFont="1" applyBorder="1" applyAlignment="1" applyProtection="1">
      <alignment vertical="center"/>
      <protection locked="0"/>
    </xf>
    <xf numFmtId="0" fontId="28" fillId="0" borderId="0" xfId="15" applyFont="1" applyBorder="1" applyAlignment="1" applyProtection="1">
      <alignment vertical="center"/>
      <protection locked="0"/>
    </xf>
    <xf numFmtId="0" fontId="40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8" fontId="19" fillId="0" borderId="0" xfId="0" applyNumberFormat="1" applyFont="1" applyFill="1"/>
    <xf numFmtId="0" fontId="38" fillId="0" borderId="0" xfId="17" applyFont="1"/>
    <xf numFmtId="0" fontId="40" fillId="0" borderId="3" xfId="18" applyFont="1" applyBorder="1" applyAlignment="1">
      <alignment horizontal="left" vertical="top" wrapText="1"/>
    </xf>
    <xf numFmtId="168" fontId="42" fillId="0" borderId="6" xfId="18" applyNumberFormat="1" applyFont="1" applyFill="1" applyBorder="1" applyAlignment="1">
      <alignment horizontal="center" vertical="center"/>
    </xf>
    <xf numFmtId="0" fontId="41" fillId="0" borderId="0" xfId="18" applyFont="1"/>
    <xf numFmtId="0" fontId="20" fillId="0" borderId="5" xfId="0" applyFont="1" applyFill="1" applyBorder="1" applyAlignment="1" applyProtection="1">
      <alignment horizontal="center" vertical="center" wrapText="1"/>
      <protection locked="0"/>
    </xf>
    <xf numFmtId="4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8" xfId="0" applyFont="1" applyFill="1" applyBorder="1" applyAlignment="1" applyProtection="1">
      <alignment horizontal="center" vertical="center" wrapText="1"/>
      <protection locked="0"/>
    </xf>
    <xf numFmtId="0" fontId="20" fillId="0" borderId="5" xfId="0" applyFont="1" applyFill="1" applyBorder="1" applyAlignment="1" applyProtection="1">
      <alignment horizontal="left" vertical="center"/>
      <protection locked="0"/>
    </xf>
    <xf numFmtId="0" fontId="20" fillId="0" borderId="4" xfId="0" applyFont="1" applyFill="1" applyBorder="1" applyAlignment="1" applyProtection="1">
      <alignment vertical="center" wrapText="1"/>
      <protection locked="0"/>
    </xf>
    <xf numFmtId="2" fontId="19" fillId="0" borderId="41" xfId="0" applyNumberFormat="1" applyFont="1" applyFill="1" applyBorder="1" applyAlignment="1" applyProtection="1">
      <alignment horizontal="center" vertical="center"/>
      <protection locked="0"/>
    </xf>
    <xf numFmtId="4" fontId="19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42" xfId="0" applyNumberFormat="1" applyFont="1" applyFill="1" applyBorder="1" applyAlignment="1" applyProtection="1">
      <alignment horizontal="center" vertical="center"/>
      <protection locked="0"/>
    </xf>
    <xf numFmtId="0" fontId="19" fillId="0" borderId="5" xfId="0" applyFont="1" applyFill="1" applyBorder="1" applyAlignment="1">
      <alignment horizontal="left" vertical="center" wrapText="1"/>
    </xf>
    <xf numFmtId="170" fontId="19" fillId="0" borderId="5" xfId="0" applyNumberFormat="1" applyFont="1" applyFill="1" applyBorder="1" applyAlignment="1" applyProtection="1">
      <alignment horizontal="center" vertical="center"/>
      <protection locked="0"/>
    </xf>
    <xf numFmtId="0" fontId="39" fillId="0" borderId="0" xfId="18" applyFont="1" applyAlignment="1">
      <alignment horizontal="left"/>
    </xf>
    <xf numFmtId="0" fontId="27" fillId="0" borderId="3" xfId="3" quotePrefix="1" applyFont="1" applyBorder="1" applyAlignment="1">
      <alignment horizontal="left" vertical="center" wrapText="1"/>
    </xf>
    <xf numFmtId="0" fontId="27" fillId="0" borderId="3" xfId="3" quotePrefix="1" applyFont="1" applyBorder="1" applyAlignment="1">
      <alignment horizontal="right" vertical="center" wrapText="1"/>
    </xf>
    <xf numFmtId="0" fontId="10" fillId="0" borderId="3" xfId="5" applyFont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0" fontId="19" fillId="0" borderId="5" xfId="0" applyFont="1" applyFill="1" applyBorder="1" applyAlignment="1" applyProtection="1">
      <alignment horizontal="left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26" xfId="0" applyFont="1" applyFill="1" applyBorder="1" applyAlignment="1" applyProtection="1">
      <alignment horizontal="center" vertical="center" wrapText="1"/>
      <protection locked="0"/>
    </xf>
    <xf numFmtId="0" fontId="20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35" fillId="0" borderId="0" xfId="10" applyFont="1" applyFill="1" applyBorder="1" applyAlignment="1">
      <alignment horizontal="center" vertical="center" wrapText="1"/>
    </xf>
    <xf numFmtId="0" fontId="33" fillId="0" borderId="3" xfId="10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left" vertical="center"/>
      <protection locked="0"/>
    </xf>
    <xf numFmtId="0" fontId="19" fillId="0" borderId="0" xfId="15" applyFont="1" applyBorder="1" applyAlignment="1" applyProtection="1">
      <alignment horizontal="center" vertical="center"/>
      <protection locked="0"/>
    </xf>
    <xf numFmtId="0" fontId="20" fillId="0" borderId="3" xfId="15" applyFont="1" applyBorder="1" applyAlignment="1" applyProtection="1">
      <alignment horizontal="center" vertical="center" wrapText="1"/>
      <protection locked="0"/>
    </xf>
    <xf numFmtId="2" fontId="19" fillId="0" borderId="17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Alignment="1" applyProtection="1">
      <alignment vertical="center" wrapText="1"/>
      <protection locked="0"/>
    </xf>
    <xf numFmtId="0" fontId="43" fillId="2" borderId="0" xfId="0" applyFont="1" applyFill="1"/>
    <xf numFmtId="2" fontId="29" fillId="0" borderId="0" xfId="0" applyNumberFormat="1" applyFont="1" applyFill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 applyProtection="1">
      <alignment vertical="center"/>
      <protection locked="0"/>
    </xf>
    <xf numFmtId="0" fontId="28" fillId="0" borderId="0" xfId="15" applyFont="1" applyFill="1" applyAlignment="1">
      <alignment vertical="center"/>
    </xf>
    <xf numFmtId="0" fontId="28" fillId="0" borderId="0" xfId="15" applyFont="1" applyFill="1" applyBorder="1" applyAlignment="1" applyProtection="1">
      <alignment vertical="center"/>
      <protection locked="0"/>
    </xf>
    <xf numFmtId="0" fontId="44" fillId="0" borderId="0" xfId="0" applyFont="1" applyFill="1"/>
    <xf numFmtId="4" fontId="19" fillId="0" borderId="12" xfId="15" applyNumberFormat="1" applyFont="1" applyFill="1" applyBorder="1" applyAlignment="1">
      <alignment horizontal="center" vertical="center"/>
    </xf>
    <xf numFmtId="4" fontId="19" fillId="0" borderId="33" xfId="15" applyNumberFormat="1" applyFont="1" applyFill="1" applyBorder="1" applyAlignment="1">
      <alignment horizontal="center" vertical="center"/>
    </xf>
    <xf numFmtId="4" fontId="19" fillId="0" borderId="35" xfId="15" applyNumberFormat="1" applyFont="1" applyFill="1" applyBorder="1" applyAlignment="1">
      <alignment horizontal="center" vertical="center"/>
    </xf>
    <xf numFmtId="0" fontId="20" fillId="0" borderId="3" xfId="15" applyFont="1" applyBorder="1" applyAlignment="1" applyProtection="1">
      <alignment horizontal="left" vertical="top" wrapText="1"/>
      <protection locked="0"/>
    </xf>
    <xf numFmtId="0" fontId="20" fillId="0" borderId="37" xfId="15" applyFont="1" applyBorder="1" applyAlignment="1" applyProtection="1">
      <alignment horizontal="left" vertical="top" wrapText="1"/>
      <protection locked="0"/>
    </xf>
    <xf numFmtId="0" fontId="20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0" fontId="46" fillId="0" borderId="3" xfId="18" applyFont="1" applyBorder="1" applyAlignment="1">
      <alignment horizontal="center" vertical="center" wrapText="1"/>
    </xf>
    <xf numFmtId="0" fontId="47" fillId="0" borderId="3" xfId="18" applyFont="1" applyBorder="1" applyAlignment="1">
      <alignment horizontal="center" vertical="center" wrapText="1"/>
    </xf>
    <xf numFmtId="168" fontId="47" fillId="0" borderId="3" xfId="18" applyNumberFormat="1" applyFont="1" applyBorder="1" applyAlignment="1">
      <alignment horizontal="center" vertical="center" wrapText="1"/>
    </xf>
    <xf numFmtId="0" fontId="46" fillId="0" borderId="3" xfId="18" applyFont="1" applyBorder="1" applyAlignment="1">
      <alignment horizontal="center" vertical="center"/>
    </xf>
    <xf numFmtId="171" fontId="48" fillId="0" borderId="24" xfId="0" applyNumberFormat="1" applyFont="1" applyFill="1" applyBorder="1" applyAlignment="1" applyProtection="1">
      <alignment horizontal="right" vertical="center"/>
      <protection locked="0"/>
    </xf>
    <xf numFmtId="168" fontId="7" fillId="0" borderId="0" xfId="0" applyNumberFormat="1" applyFont="1"/>
    <xf numFmtId="0" fontId="45" fillId="0" borderId="1" xfId="18" applyFont="1" applyBorder="1" applyAlignment="1">
      <alignment horizontal="center" vertical="center" wrapText="1"/>
    </xf>
    <xf numFmtId="0" fontId="45" fillId="0" borderId="40" xfId="18" applyFont="1" applyBorder="1" applyAlignment="1">
      <alignment horizontal="center" vertical="center" wrapText="1"/>
    </xf>
    <xf numFmtId="0" fontId="45" fillId="0" borderId="2" xfId="18" applyFont="1" applyBorder="1" applyAlignment="1">
      <alignment horizontal="center" vertical="center" wrapText="1"/>
    </xf>
    <xf numFmtId="0" fontId="49" fillId="0" borderId="0" xfId="17" applyFont="1"/>
    <xf numFmtId="4" fontId="20" fillId="0" borderId="0" xfId="0" applyNumberFormat="1" applyFont="1" applyFill="1" applyBorder="1" applyAlignment="1">
      <alignment horizontal="center"/>
    </xf>
    <xf numFmtId="4" fontId="19" fillId="0" borderId="0" xfId="0" applyNumberFormat="1" applyFont="1" applyFill="1" applyBorder="1" applyAlignment="1">
      <alignment horizontal="center"/>
    </xf>
    <xf numFmtId="4" fontId="20" fillId="2" borderId="0" xfId="0" applyNumberFormat="1" applyFont="1" applyFill="1" applyBorder="1" applyAlignment="1">
      <alignment horizontal="center" wrapText="1"/>
    </xf>
    <xf numFmtId="4" fontId="20" fillId="0" borderId="33" xfId="0" applyNumberFormat="1" applyFont="1" applyFill="1" applyBorder="1" applyAlignment="1">
      <alignment horizontal="center" vertical="center"/>
    </xf>
    <xf numFmtId="4" fontId="19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5" applyFont="1" applyBorder="1" applyAlignment="1">
      <alignment horizontal="center" vertical="center" wrapText="1"/>
    </xf>
    <xf numFmtId="4" fontId="19" fillId="0" borderId="4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Fill="1"/>
    <xf numFmtId="2" fontId="19" fillId="0" borderId="0" xfId="13" applyNumberFormat="1" applyFont="1" applyFill="1" applyBorder="1" applyAlignment="1" applyProtection="1">
      <alignment horizontal="left" vertical="center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15" applyNumberFormat="1" applyFont="1" applyBorder="1" applyAlignment="1" applyProtection="1">
      <alignment vertical="center"/>
      <protection locked="0"/>
    </xf>
    <xf numFmtId="2" fontId="51" fillId="0" borderId="3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8" fillId="0" borderId="3" xfId="0" applyFont="1" applyBorder="1" applyAlignment="1">
      <alignment vertical="center" wrapText="1"/>
    </xf>
    <xf numFmtId="0" fontId="28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38" xfId="0" applyFont="1" applyFill="1" applyBorder="1" applyAlignment="1">
      <alignment horizontal="center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20" fillId="0" borderId="4" xfId="15" applyNumberFormat="1" applyFont="1" applyBorder="1" applyAlignment="1" applyProtection="1">
      <alignment horizontal="left" vertical="center" wrapText="1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169" fontId="19" fillId="0" borderId="0" xfId="15" applyNumberFormat="1" applyFont="1" applyBorder="1" applyAlignment="1" applyProtection="1">
      <alignment vertical="center" wrapText="1"/>
      <protection hidden="1"/>
    </xf>
    <xf numFmtId="169" fontId="19" fillId="0" borderId="0" xfId="15" applyNumberFormat="1" applyFont="1" applyBorder="1" applyAlignment="1" applyProtection="1">
      <alignment horizontal="right" vertical="center"/>
    </xf>
    <xf numFmtId="0" fontId="19" fillId="0" borderId="17" xfId="15" applyNumberFormat="1" applyFont="1" applyBorder="1" applyAlignment="1" applyProtection="1">
      <alignment horizontal="right" vertical="center" wrapText="1"/>
      <protection locked="0"/>
    </xf>
    <xf numFmtId="0" fontId="53" fillId="0" borderId="0" xfId="15" applyFont="1" applyBorder="1" applyAlignment="1" applyProtection="1">
      <alignment vertical="center"/>
      <protection locked="0"/>
    </xf>
    <xf numFmtId="0" fontId="19" fillId="0" borderId="4" xfId="15" applyNumberFormat="1" applyFont="1" applyBorder="1" applyAlignment="1" applyProtection="1">
      <alignment horizontal="center" vertical="center" wrapText="1"/>
      <protection locked="0"/>
    </xf>
    <xf numFmtId="0" fontId="19" fillId="0" borderId="36" xfId="15" applyNumberFormat="1" applyFont="1" applyBorder="1" applyAlignment="1" applyProtection="1">
      <alignment horizontal="right" vertical="center"/>
    </xf>
    <xf numFmtId="0" fontId="19" fillId="0" borderId="4" xfId="15" applyNumberFormat="1" applyFont="1" applyBorder="1" applyAlignment="1" applyProtection="1">
      <alignment horizontal="right" vertical="center" wrapText="1"/>
      <protection locked="0"/>
    </xf>
    <xf numFmtId="0" fontId="19" fillId="0" borderId="4" xfId="15" applyNumberFormat="1" applyFont="1" applyBorder="1" applyAlignment="1" applyProtection="1">
      <alignment horizontal="left" vertical="center" wrapText="1"/>
      <protection locked="0"/>
    </xf>
    <xf numFmtId="0" fontId="19" fillId="0" borderId="4" xfId="15" applyNumberFormat="1" applyFont="1" applyBorder="1" applyAlignment="1" applyProtection="1">
      <alignment vertical="center"/>
      <protection locked="0"/>
    </xf>
    <xf numFmtId="0" fontId="20" fillId="0" borderId="4" xfId="15" applyNumberFormat="1" applyFont="1" applyBorder="1" applyAlignment="1" applyProtection="1">
      <alignment horizontal="center" vertical="center"/>
      <protection locked="0"/>
    </xf>
    <xf numFmtId="0" fontId="19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9" fillId="0" borderId="43" xfId="15" quotePrefix="1" applyNumberFormat="1" applyFont="1" applyBorder="1" applyAlignment="1" applyProtection="1">
      <alignment horizontal="center" vertical="center" wrapText="1"/>
      <protection locked="0"/>
    </xf>
    <xf numFmtId="0" fontId="19" fillId="0" borderId="4" xfId="15" applyNumberFormat="1" applyFont="1" applyFill="1" applyBorder="1" applyAlignment="1">
      <alignment horizontal="left" vertical="center" wrapText="1"/>
    </xf>
    <xf numFmtId="0" fontId="19" fillId="0" borderId="17" xfId="15" applyNumberFormat="1" applyFont="1" applyBorder="1" applyAlignment="1" applyProtection="1">
      <alignment horizontal="left" vertical="center"/>
      <protection locked="0"/>
    </xf>
    <xf numFmtId="0" fontId="19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9" fillId="0" borderId="41" xfId="15" quotePrefix="1" applyNumberFormat="1" applyFont="1" applyBorder="1" applyAlignment="1" applyProtection="1">
      <alignment horizontal="center" vertical="center" wrapText="1"/>
      <protection locked="0"/>
    </xf>
    <xf numFmtId="0" fontId="19" fillId="0" borderId="42" xfId="15" applyNumberFormat="1" applyFont="1" applyBorder="1" applyAlignment="1" applyProtection="1">
      <alignment horizontal="right" vertical="center"/>
    </xf>
    <xf numFmtId="0" fontId="19" fillId="0" borderId="4" xfId="0" applyFont="1" applyFill="1" applyBorder="1" applyAlignment="1" applyProtection="1">
      <alignment horizontal="left" vertical="top" wrapText="1"/>
      <protection locked="0"/>
    </xf>
    <xf numFmtId="0" fontId="19" fillId="0" borderId="4" xfId="0" applyFont="1" applyFill="1" applyBorder="1" applyAlignment="1" applyProtection="1">
      <alignment horizontal="center" vertical="center" wrapText="1" shrinkToFit="1"/>
      <protection locked="0"/>
    </xf>
    <xf numFmtId="0" fontId="19" fillId="0" borderId="4" xfId="0" applyFont="1" applyFill="1" applyBorder="1" applyAlignment="1" applyProtection="1">
      <alignment vertical="center" wrapText="1"/>
      <protection locked="0"/>
    </xf>
    <xf numFmtId="3" fontId="20" fillId="0" borderId="38" xfId="0" applyNumberFormat="1" applyFont="1" applyFill="1" applyBorder="1" applyAlignment="1" applyProtection="1">
      <alignment horizontal="center" vertical="center"/>
      <protection locked="0"/>
    </xf>
    <xf numFmtId="3" fontId="20" fillId="0" borderId="9" xfId="0" applyNumberFormat="1" applyFont="1" applyFill="1" applyBorder="1" applyAlignment="1" applyProtection="1">
      <alignment horizontal="center" vertical="center"/>
      <protection locked="0"/>
    </xf>
    <xf numFmtId="3" fontId="20" fillId="0" borderId="23" xfId="15" applyNumberFormat="1" applyFont="1" applyFill="1" applyBorder="1" applyAlignment="1">
      <alignment horizontal="center" vertical="center"/>
    </xf>
    <xf numFmtId="3" fontId="20" fillId="0" borderId="3" xfId="15" applyNumberFormat="1" applyFont="1" applyFill="1" applyBorder="1" applyAlignment="1">
      <alignment horizontal="center" vertical="center"/>
    </xf>
    <xf numFmtId="3" fontId="19" fillId="0" borderId="4" xfId="0" applyNumberFormat="1" applyFont="1" applyFill="1" applyBorder="1" applyAlignment="1" applyProtection="1">
      <alignment horizontal="center" vertical="top" wrapText="1"/>
      <protection locked="0"/>
    </xf>
    <xf numFmtId="3" fontId="19" fillId="0" borderId="4" xfId="0" applyNumberFormat="1" applyFont="1" applyFill="1" applyBorder="1" applyAlignment="1" applyProtection="1">
      <alignment horizontal="center" vertical="center"/>
      <protection locked="0"/>
    </xf>
    <xf numFmtId="3" fontId="1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36" xfId="0" applyNumberFormat="1" applyFont="1" applyFill="1" applyBorder="1" applyAlignment="1" applyProtection="1">
      <alignment horizontal="center" vertical="center"/>
    </xf>
    <xf numFmtId="3" fontId="20" fillId="0" borderId="25" xfId="15" applyNumberFormat="1" applyFont="1" applyFill="1" applyBorder="1" applyAlignment="1">
      <alignment horizontal="center" vertical="center"/>
    </xf>
    <xf numFmtId="3" fontId="21" fillId="0" borderId="3" xfId="10" applyNumberFormat="1" applyFont="1" applyFill="1" applyBorder="1" applyAlignment="1">
      <alignment horizontal="center" vertical="center"/>
    </xf>
    <xf numFmtId="1" fontId="21" fillId="0" borderId="3" xfId="10" applyNumberFormat="1" applyFont="1" applyFill="1" applyBorder="1" applyAlignment="1">
      <alignment vertical="center"/>
    </xf>
    <xf numFmtId="1" fontId="21" fillId="0" borderId="3" xfId="10" applyNumberFormat="1" applyFont="1" applyFill="1" applyBorder="1" applyAlignment="1">
      <alignment horizontal="center" vertical="center"/>
    </xf>
    <xf numFmtId="3" fontId="21" fillId="0" borderId="3" xfId="10" applyNumberFormat="1" applyFont="1" applyFill="1" applyBorder="1" applyAlignment="1" applyProtection="1">
      <alignment vertical="center"/>
      <protection hidden="1"/>
    </xf>
    <xf numFmtId="3" fontId="21" fillId="0" borderId="3" xfId="10" applyNumberFormat="1" applyFont="1" applyFill="1" applyBorder="1" applyAlignment="1">
      <alignment vertical="center"/>
    </xf>
    <xf numFmtId="3" fontId="33" fillId="0" borderId="3" xfId="10" applyNumberFormat="1" applyFont="1" applyFill="1" applyBorder="1" applyAlignment="1">
      <alignment vertical="center"/>
    </xf>
    <xf numFmtId="3" fontId="19" fillId="0" borderId="3" xfId="15" applyNumberFormat="1" applyFont="1" applyBorder="1" applyAlignment="1" applyProtection="1">
      <alignment vertical="center"/>
    </xf>
    <xf numFmtId="3" fontId="20" fillId="0" borderId="0" xfId="0" applyNumberFormat="1" applyFont="1" applyBorder="1" applyAlignment="1">
      <alignment vertical="center"/>
    </xf>
    <xf numFmtId="3" fontId="20" fillId="0" borderId="42" xfId="0" applyNumberFormat="1" applyFont="1" applyFill="1" applyBorder="1" applyAlignment="1" applyProtection="1">
      <alignment horizontal="right" vertical="center"/>
      <protection locked="0"/>
    </xf>
    <xf numFmtId="3" fontId="20" fillId="0" borderId="9" xfId="0" applyNumberFormat="1" applyFont="1" applyFill="1" applyBorder="1" applyAlignment="1" applyProtection="1">
      <alignment horizontal="right" vertical="center"/>
      <protection locked="0"/>
    </xf>
    <xf numFmtId="172" fontId="9" fillId="0" borderId="3" xfId="16" applyNumberFormat="1" applyFont="1" applyBorder="1" applyAlignment="1" applyProtection="1">
      <alignment vertical="center"/>
      <protection locked="0"/>
    </xf>
    <xf numFmtId="172" fontId="10" fillId="0" borderId="3" xfId="5" applyNumberFormat="1" applyFont="1" applyBorder="1" applyAlignment="1"/>
    <xf numFmtId="172" fontId="10" fillId="0" borderId="3" xfId="16" applyNumberFormat="1" applyFont="1" applyBorder="1" applyAlignment="1" applyProtection="1">
      <alignment vertical="center"/>
      <protection locked="0"/>
    </xf>
    <xf numFmtId="172" fontId="10" fillId="3" borderId="3" xfId="16" applyNumberFormat="1" applyFont="1" applyFill="1" applyBorder="1" applyAlignment="1">
      <alignment horizontal="center" vertical="center" wrapText="1"/>
    </xf>
    <xf numFmtId="172" fontId="10" fillId="0" borderId="3" xfId="16" applyNumberFormat="1" applyFont="1" applyBorder="1" applyAlignment="1">
      <alignment horizontal="center" vertical="center" wrapText="1"/>
    </xf>
    <xf numFmtId="172" fontId="9" fillId="0" borderId="3" xfId="16" applyNumberFormat="1" applyFont="1" applyBorder="1" applyAlignment="1">
      <alignment horizontal="center" vertical="center" wrapText="1"/>
    </xf>
    <xf numFmtId="172" fontId="27" fillId="0" borderId="3" xfId="4" applyNumberFormat="1" applyFont="1" applyBorder="1" applyAlignment="1">
      <alignment horizontal="right" vertical="center" wrapText="1"/>
    </xf>
    <xf numFmtId="172" fontId="26" fillId="0" borderId="3" xfId="4" applyNumberFormat="1" applyFont="1" applyBorder="1" applyAlignment="1">
      <alignment horizontal="right" vertical="center" wrapText="1"/>
    </xf>
    <xf numFmtId="2" fontId="19" fillId="0" borderId="4" xfId="0" applyNumberFormat="1" applyFont="1" applyFill="1" applyBorder="1" applyAlignment="1" applyProtection="1">
      <alignment horizontal="center" vertical="center"/>
      <protection locked="0"/>
    </xf>
    <xf numFmtId="2" fontId="19" fillId="0" borderId="6" xfId="0" applyNumberFormat="1" applyFont="1" applyFill="1" applyBorder="1" applyAlignment="1" applyProtection="1">
      <alignment horizontal="center" vertical="center"/>
      <protection locked="0"/>
    </xf>
    <xf numFmtId="0" fontId="19" fillId="0" borderId="17" xfId="15" applyNumberFormat="1" applyFont="1" applyBorder="1" applyAlignment="1" applyProtection="1">
      <alignment horizontal="left" vertical="center" wrapText="1"/>
      <protection locked="0"/>
    </xf>
    <xf numFmtId="3" fontId="19" fillId="0" borderId="4" xfId="0" applyNumberFormat="1" applyFont="1" applyFill="1" applyBorder="1" applyAlignment="1" applyProtection="1">
      <alignment vertical="center"/>
      <protection locked="0"/>
    </xf>
    <xf numFmtId="3" fontId="19" fillId="0" borderId="43" xfId="0" applyNumberFormat="1" applyFont="1" applyFill="1" applyBorder="1" applyAlignment="1" applyProtection="1">
      <alignment horizontal="center" vertical="center"/>
      <protection locked="0"/>
    </xf>
    <xf numFmtId="0" fontId="19" fillId="0" borderId="17" xfId="15" applyNumberFormat="1" applyFont="1" applyFill="1" applyBorder="1" applyAlignment="1">
      <alignment horizontal="right" vertical="center"/>
    </xf>
    <xf numFmtId="0" fontId="19" fillId="0" borderId="17" xfId="15" applyNumberFormat="1" applyFont="1" applyBorder="1" applyAlignment="1" applyProtection="1">
      <alignment vertical="center"/>
      <protection locked="0"/>
    </xf>
    <xf numFmtId="0" fontId="20" fillId="0" borderId="17" xfId="15" applyNumberFormat="1" applyFont="1" applyBorder="1" applyAlignment="1" applyProtection="1">
      <alignment vertical="center" wrapText="1"/>
      <protection locked="0"/>
    </xf>
    <xf numFmtId="0" fontId="19" fillId="0" borderId="17" xfId="15" applyNumberFormat="1" applyFont="1" applyBorder="1" applyAlignment="1" applyProtection="1">
      <alignment horizontal="center" vertical="center" wrapText="1"/>
      <protection locked="0"/>
    </xf>
    <xf numFmtId="4" fontId="20" fillId="0" borderId="37" xfId="15" applyNumberFormat="1" applyFont="1" applyFill="1" applyBorder="1" applyAlignment="1">
      <alignment horizontal="center" vertical="center"/>
    </xf>
    <xf numFmtId="4" fontId="20" fillId="0" borderId="4" xfId="0" applyNumberFormat="1" applyFont="1" applyFill="1" applyBorder="1" applyAlignment="1">
      <alignment horizontal="center" vertical="center"/>
    </xf>
    <xf numFmtId="0" fontId="20" fillId="0" borderId="25" xfId="0" applyFont="1" applyFill="1" applyBorder="1" applyAlignment="1" applyProtection="1">
      <alignment horizontal="center" vertical="center" wrapText="1"/>
      <protection locked="0"/>
    </xf>
    <xf numFmtId="0" fontId="19" fillId="0" borderId="4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42" xfId="15" applyNumberFormat="1" applyFont="1" applyBorder="1" applyAlignment="1" applyProtection="1">
      <alignment horizontal="right" vertical="center"/>
      <protection locked="0"/>
    </xf>
    <xf numFmtId="3" fontId="19" fillId="0" borderId="36" xfId="0" applyNumberFormat="1" applyFont="1" applyFill="1" applyBorder="1" applyAlignment="1" applyProtection="1">
      <alignment horizontal="center" vertical="center"/>
      <protection locked="0"/>
    </xf>
    <xf numFmtId="0" fontId="27" fillId="0" borderId="3" xfId="3" quotePrefix="1" applyFont="1" applyBorder="1" applyAlignment="1">
      <alignment horizontal="left" vertical="center" wrapText="1"/>
    </xf>
    <xf numFmtId="4" fontId="19" fillId="0" borderId="4" xfId="0" applyNumberFormat="1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horizontal="left" vertical="center" wrapText="1"/>
      <protection locked="0"/>
    </xf>
    <xf numFmtId="3" fontId="19" fillId="0" borderId="0" xfId="0" applyNumberFormat="1" applyFont="1" applyFill="1" applyBorder="1" applyAlignment="1">
      <alignment horizontal="left" vertical="center"/>
    </xf>
    <xf numFmtId="0" fontId="20" fillId="0" borderId="0" xfId="0" applyFont="1" applyBorder="1" applyAlignment="1" applyProtection="1">
      <alignment horizontal="left" vertical="center" wrapText="1"/>
      <protection locked="0"/>
    </xf>
    <xf numFmtId="3" fontId="19" fillId="0" borderId="0" xfId="0" applyNumberFormat="1" applyFont="1" applyFill="1" applyBorder="1" applyAlignment="1">
      <alignment horizontal="left" vertical="top"/>
    </xf>
    <xf numFmtId="0" fontId="20" fillId="0" borderId="0" xfId="15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167" fontId="20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 applyProtection="1">
      <alignment vertical="center" wrapText="1"/>
      <protection locked="0"/>
    </xf>
    <xf numFmtId="2" fontId="19" fillId="0" borderId="4" xfId="0" applyNumberFormat="1" applyFont="1" applyFill="1" applyBorder="1" applyAlignment="1" applyProtection="1">
      <alignment vertical="center"/>
      <protection locked="0"/>
    </xf>
    <xf numFmtId="167" fontId="19" fillId="0" borderId="0" xfId="0" applyNumberFormat="1" applyFont="1" applyFill="1" applyBorder="1" applyAlignment="1">
      <alignment horizontal="center" vertical="center"/>
    </xf>
    <xf numFmtId="0" fontId="28" fillId="0" borderId="0" xfId="15" applyFont="1" applyBorder="1" applyAlignment="1" applyProtection="1">
      <alignment horizontal="left" vertical="center" wrapText="1"/>
      <protection locked="0"/>
    </xf>
    <xf numFmtId="0" fontId="19" fillId="0" borderId="43" xfId="0" applyFont="1" applyFill="1" applyBorder="1" applyAlignment="1">
      <alignment horizontal="center" vertical="center"/>
    </xf>
    <xf numFmtId="0" fontId="19" fillId="0" borderId="4" xfId="0" applyFont="1" applyFill="1" applyBorder="1" applyAlignment="1" applyProtection="1">
      <alignment horizontal="right" vertical="center" wrapText="1"/>
      <protection locked="0"/>
    </xf>
    <xf numFmtId="3" fontId="20" fillId="0" borderId="0" xfId="0" applyNumberFormat="1" applyFont="1" applyFill="1" applyBorder="1" applyAlignment="1">
      <alignment horizontal="center" vertical="center"/>
    </xf>
    <xf numFmtId="0" fontId="19" fillId="0" borderId="4" xfId="0" applyFont="1" applyFill="1" applyBorder="1" applyAlignment="1" applyProtection="1">
      <alignment horizontal="center" vertical="center"/>
      <protection locked="0"/>
    </xf>
    <xf numFmtId="0" fontId="20" fillId="0" borderId="4" xfId="15" applyNumberFormat="1" applyFont="1" applyBorder="1" applyAlignment="1" applyProtection="1">
      <alignment horizontal="center" vertical="center" wrapText="1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167" fontId="20" fillId="0" borderId="0" xfId="0" applyNumberFormat="1" applyFont="1" applyFill="1" applyBorder="1" applyAlignment="1" applyProtection="1">
      <alignment horizontal="center" vertical="top" wrapText="1"/>
      <protection locked="0"/>
    </xf>
    <xf numFmtId="3" fontId="19" fillId="0" borderId="0" xfId="0" applyNumberFormat="1" applyFont="1" applyFill="1" applyBorder="1" applyAlignment="1">
      <alignment horizontal="center" vertical="center"/>
    </xf>
    <xf numFmtId="3" fontId="20" fillId="0" borderId="47" xfId="0" applyNumberFormat="1" applyFont="1" applyFill="1" applyBorder="1" applyAlignment="1">
      <alignment horizontal="center" vertical="center"/>
    </xf>
    <xf numFmtId="0" fontId="20" fillId="0" borderId="47" xfId="15" applyFont="1" applyBorder="1" applyAlignment="1" applyProtection="1">
      <alignment horizontal="left" vertical="center" wrapText="1"/>
      <protection locked="0"/>
    </xf>
    <xf numFmtId="0" fontId="19" fillId="0" borderId="45" xfId="0" applyFont="1" applyFill="1" applyBorder="1" applyAlignment="1">
      <alignment horizontal="center" vertical="center"/>
    </xf>
    <xf numFmtId="167" fontId="20" fillId="0" borderId="28" xfId="0" applyNumberFormat="1" applyFont="1" applyFill="1" applyBorder="1" applyAlignment="1">
      <alignment horizontal="center" vertical="center"/>
    </xf>
    <xf numFmtId="0" fontId="20" fillId="0" borderId="28" xfId="0" applyFont="1" applyBorder="1" applyAlignment="1" applyProtection="1">
      <alignment horizontal="left" vertical="center" wrapText="1"/>
      <protection locked="0"/>
    </xf>
    <xf numFmtId="0" fontId="19" fillId="0" borderId="7" xfId="0" applyFont="1" applyFill="1" applyBorder="1" applyAlignment="1" applyProtection="1">
      <alignment horizontal="left" vertical="top" wrapText="1"/>
      <protection locked="0"/>
    </xf>
    <xf numFmtId="0" fontId="19" fillId="0" borderId="6" xfId="0" applyFont="1" applyFill="1" applyBorder="1" applyAlignment="1" applyProtection="1">
      <alignment horizontal="right" vertical="top" wrapText="1"/>
      <protection locked="0"/>
    </xf>
    <xf numFmtId="4" fontId="19" fillId="0" borderId="7" xfId="0" applyNumberFormat="1" applyFont="1" applyFill="1" applyBorder="1" applyAlignment="1" applyProtection="1">
      <alignment horizontal="center" vertical="center"/>
      <protection locked="0"/>
    </xf>
    <xf numFmtId="0" fontId="19" fillId="0" borderId="6" xfId="0" applyFont="1" applyFill="1" applyBorder="1" applyAlignment="1" applyProtection="1">
      <alignment horizontal="center" vertical="center" wrapText="1" shrinkToFit="1"/>
      <protection locked="0"/>
    </xf>
    <xf numFmtId="3" fontId="19" fillId="0" borderId="7" xfId="0" applyNumberFormat="1" applyFont="1" applyFill="1" applyBorder="1" applyAlignment="1" applyProtection="1">
      <alignment vertical="center"/>
      <protection locked="0"/>
    </xf>
    <xf numFmtId="4" fontId="19" fillId="0" borderId="6" xfId="0" applyNumberFormat="1" applyFont="1" applyFill="1" applyBorder="1" applyAlignment="1" applyProtection="1">
      <alignment vertical="center"/>
      <protection locked="0"/>
    </xf>
    <xf numFmtId="2" fontId="19" fillId="0" borderId="7" xfId="15" applyNumberFormat="1" applyFont="1" applyBorder="1" applyAlignment="1" applyProtection="1">
      <alignment horizontal="center" vertical="center"/>
      <protection locked="0"/>
    </xf>
    <xf numFmtId="3" fontId="19" fillId="0" borderId="6" xfId="0" applyNumberFormat="1" applyFont="1" applyFill="1" applyBorder="1" applyAlignment="1" applyProtection="1">
      <alignment horizontal="center" vertical="center"/>
      <protection locked="0"/>
    </xf>
    <xf numFmtId="0" fontId="53" fillId="0" borderId="3" xfId="15" applyFont="1" applyBorder="1" applyAlignment="1" applyProtection="1">
      <alignment horizontal="left" vertical="center" wrapText="1"/>
      <protection locked="0"/>
    </xf>
    <xf numFmtId="0" fontId="54" fillId="0" borderId="0" xfId="15" applyFont="1" applyBorder="1" applyAlignment="1" applyProtection="1">
      <alignment vertical="center"/>
      <protection locked="0"/>
    </xf>
    <xf numFmtId="0" fontId="54" fillId="0" borderId="0" xfId="0" applyFont="1" applyAlignment="1">
      <alignment vertical="center"/>
    </xf>
    <xf numFmtId="0" fontId="53" fillId="0" borderId="0" xfId="0" applyFont="1"/>
    <xf numFmtId="2" fontId="53" fillId="0" borderId="0" xfId="15" applyNumberFormat="1" applyFont="1" applyBorder="1" applyAlignment="1" applyProtection="1">
      <alignment vertical="center"/>
      <protection locked="0"/>
    </xf>
    <xf numFmtId="0" fontId="53" fillId="0" borderId="0" xfId="15" applyFont="1" applyBorder="1" applyAlignment="1" applyProtection="1">
      <alignment horizontal="left" vertical="center"/>
      <protection locked="0"/>
    </xf>
    <xf numFmtId="0" fontId="53" fillId="0" borderId="0" xfId="15" applyFont="1" applyBorder="1" applyAlignment="1" applyProtection="1">
      <alignment horizontal="center" vertical="center"/>
      <protection locked="0"/>
    </xf>
    <xf numFmtId="4" fontId="53" fillId="0" borderId="0" xfId="15" applyNumberFormat="1" applyFont="1" applyBorder="1" applyAlignment="1" applyProtection="1">
      <alignment horizontal="center" vertical="center"/>
      <protection locked="0"/>
    </xf>
    <xf numFmtId="0" fontId="54" fillId="0" borderId="0" xfId="15" applyFont="1" applyBorder="1" applyAlignment="1" applyProtection="1">
      <alignment horizontal="center" vertical="center"/>
      <protection locked="0"/>
    </xf>
    <xf numFmtId="2" fontId="54" fillId="0" borderId="0" xfId="15" applyNumberFormat="1" applyFont="1" applyBorder="1" applyAlignment="1" applyProtection="1">
      <alignment horizontal="center" vertical="center" wrapText="1"/>
      <protection locked="0"/>
    </xf>
    <xf numFmtId="0" fontId="53" fillId="0" borderId="0" xfId="15" applyFont="1" applyAlignment="1">
      <alignment vertical="center"/>
    </xf>
    <xf numFmtId="4" fontId="53" fillId="0" borderId="0" xfId="15" applyNumberFormat="1" applyFont="1" applyAlignment="1">
      <alignment vertical="center"/>
    </xf>
    <xf numFmtId="0" fontId="53" fillId="0" borderId="0" xfId="15" applyFont="1" applyAlignment="1">
      <alignment horizontal="center" vertical="center"/>
    </xf>
    <xf numFmtId="0" fontId="51" fillId="0" borderId="19" xfId="15" applyFont="1" applyFill="1" applyBorder="1" applyAlignment="1" applyProtection="1">
      <alignment horizontal="center" vertical="center" wrapText="1"/>
      <protection locked="0"/>
    </xf>
    <xf numFmtId="0" fontId="51" fillId="0" borderId="5" xfId="15" applyFont="1" applyFill="1" applyBorder="1" applyAlignment="1" applyProtection="1">
      <alignment horizontal="center" vertical="center" wrapText="1"/>
      <protection hidden="1"/>
    </xf>
    <xf numFmtId="0" fontId="51" fillId="0" borderId="5" xfId="15" applyFont="1" applyFill="1" applyBorder="1" applyAlignment="1">
      <alignment horizontal="center" vertical="center" wrapText="1"/>
    </xf>
    <xf numFmtId="0" fontId="51" fillId="0" borderId="9" xfId="15" applyFont="1" applyFill="1" applyBorder="1" applyAlignment="1" applyProtection="1">
      <alignment horizontal="center" vertical="center" wrapText="1"/>
      <protection hidden="1"/>
    </xf>
    <xf numFmtId="0" fontId="51" fillId="0" borderId="0" xfId="0" applyFont="1" applyAlignment="1">
      <alignment vertical="center"/>
    </xf>
    <xf numFmtId="0" fontId="52" fillId="0" borderId="0" xfId="0" applyFont="1"/>
    <xf numFmtId="0" fontId="53" fillId="0" borderId="20" xfId="15" applyFont="1" applyBorder="1" applyAlignment="1">
      <alignment horizontal="center" vertical="center" wrapText="1"/>
    </xf>
    <xf numFmtId="0" fontId="53" fillId="0" borderId="3" xfId="15" applyFont="1" applyBorder="1" applyAlignment="1">
      <alignment vertical="top" wrapText="1"/>
    </xf>
    <xf numFmtId="0" fontId="53" fillId="0" borderId="2" xfId="15" applyFont="1" applyBorder="1" applyAlignment="1">
      <alignment vertical="center" wrapText="1"/>
    </xf>
    <xf numFmtId="4" fontId="53" fillId="0" borderId="3" xfId="15" applyNumberFormat="1" applyFont="1" applyBorder="1" applyAlignment="1">
      <alignment horizontal="center" vertical="center" wrapText="1"/>
    </xf>
    <xf numFmtId="0" fontId="53" fillId="0" borderId="3" xfId="15" applyFont="1" applyBorder="1" applyAlignment="1">
      <alignment horizontal="left" vertical="center" wrapText="1"/>
    </xf>
    <xf numFmtId="0" fontId="53" fillId="0" borderId="3" xfId="15" applyFont="1" applyBorder="1" applyAlignment="1">
      <alignment horizontal="center" vertical="center" wrapText="1"/>
    </xf>
    <xf numFmtId="4" fontId="53" fillId="0" borderId="29" xfId="15" applyNumberFormat="1" applyFont="1" applyFill="1" applyBorder="1" applyAlignment="1">
      <alignment horizontal="right" vertical="center" wrapText="1"/>
    </xf>
    <xf numFmtId="0" fontId="54" fillId="0" borderId="0" xfId="0" applyFont="1" applyBorder="1" applyAlignment="1">
      <alignment vertical="center"/>
    </xf>
    <xf numFmtId="0" fontId="54" fillId="0" borderId="3" xfId="15" applyFont="1" applyBorder="1" applyAlignment="1">
      <alignment vertical="top" wrapText="1"/>
    </xf>
    <xf numFmtId="4" fontId="53" fillId="0" borderId="1" xfId="15" applyNumberFormat="1" applyFont="1" applyFill="1" applyBorder="1" applyAlignment="1">
      <alignment horizontal="center" vertical="center" wrapText="1"/>
    </xf>
    <xf numFmtId="2" fontId="54" fillId="0" borderId="3" xfId="15" applyNumberFormat="1" applyFont="1" applyBorder="1" applyAlignment="1">
      <alignment horizontal="left" vertical="center" wrapText="1"/>
    </xf>
    <xf numFmtId="2" fontId="54" fillId="0" borderId="3" xfId="15" applyNumberFormat="1" applyFont="1" applyBorder="1" applyAlignment="1">
      <alignment horizontal="center" vertical="center" wrapText="1"/>
    </xf>
    <xf numFmtId="4" fontId="54" fillId="0" borderId="22" xfId="15" applyNumberFormat="1" applyFont="1" applyFill="1" applyBorder="1" applyAlignment="1">
      <alignment horizontal="right" vertical="center" wrapText="1"/>
    </xf>
    <xf numFmtId="0" fontId="53" fillId="0" borderId="20" xfId="15" applyFont="1" applyFill="1" applyBorder="1" applyAlignment="1">
      <alignment horizontal="center" vertical="center" wrapText="1"/>
    </xf>
    <xf numFmtId="0" fontId="53" fillId="0" borderId="3" xfId="15" applyFont="1" applyFill="1" applyBorder="1" applyAlignment="1">
      <alignment vertical="center" wrapText="1"/>
    </xf>
    <xf numFmtId="0" fontId="53" fillId="0" borderId="3" xfId="15" applyFont="1" applyFill="1" applyBorder="1" applyAlignment="1" applyProtection="1">
      <alignment vertical="center"/>
      <protection locked="0"/>
    </xf>
    <xf numFmtId="0" fontId="53" fillId="0" borderId="3" xfId="15" applyFont="1" applyFill="1" applyBorder="1" applyAlignment="1">
      <alignment horizontal="center" vertical="center"/>
    </xf>
    <xf numFmtId="0" fontId="53" fillId="0" borderId="3" xfId="15" applyFont="1" applyFill="1" applyBorder="1" applyAlignment="1">
      <alignment horizontal="left" vertical="center" wrapText="1"/>
    </xf>
    <xf numFmtId="0" fontId="53" fillId="0" borderId="14" xfId="15" applyFont="1" applyFill="1" applyBorder="1" applyAlignment="1">
      <alignment horizontal="center" vertical="center" wrapText="1"/>
    </xf>
    <xf numFmtId="0" fontId="53" fillId="0" borderId="6" xfId="15" applyFont="1" applyFill="1" applyBorder="1" applyAlignment="1">
      <alignment vertical="center" wrapText="1"/>
    </xf>
    <xf numFmtId="0" fontId="53" fillId="0" borderId="16" xfId="15" applyFont="1" applyFill="1" applyBorder="1" applyAlignment="1">
      <alignment vertical="center" wrapText="1"/>
    </xf>
    <xf numFmtId="4" fontId="53" fillId="0" borderId="6" xfId="15" applyNumberFormat="1" applyFont="1" applyFill="1" applyBorder="1" applyAlignment="1">
      <alignment horizontal="center" vertical="center" wrapText="1"/>
    </xf>
    <xf numFmtId="0" fontId="53" fillId="0" borderId="6" xfId="15" applyFont="1" applyFill="1" applyBorder="1" applyAlignment="1">
      <alignment horizontal="left" vertical="center" wrapText="1"/>
    </xf>
    <xf numFmtId="166" fontId="53" fillId="0" borderId="6" xfId="15" applyNumberFormat="1" applyFont="1" applyFill="1" applyBorder="1" applyAlignment="1">
      <alignment horizontal="center" vertical="center" wrapText="1"/>
    </xf>
    <xf numFmtId="4" fontId="53" fillId="0" borderId="22" xfId="15" applyNumberFormat="1" applyFont="1" applyFill="1" applyBorder="1" applyAlignment="1">
      <alignment horizontal="right" vertical="center" wrapText="1"/>
    </xf>
    <xf numFmtId="0" fontId="53" fillId="0" borderId="6" xfId="15" applyFont="1" applyFill="1" applyBorder="1" applyAlignment="1">
      <alignment vertical="top" wrapText="1"/>
    </xf>
    <xf numFmtId="1" fontId="53" fillId="0" borderId="6" xfId="15" applyNumberFormat="1" applyFont="1" applyFill="1" applyBorder="1" applyAlignment="1">
      <alignment horizontal="center" vertical="center" wrapText="1"/>
    </xf>
    <xf numFmtId="0" fontId="53" fillId="0" borderId="4" xfId="15" applyFont="1" applyFill="1" applyBorder="1" applyAlignment="1">
      <alignment vertical="top" wrapText="1"/>
    </xf>
    <xf numFmtId="0" fontId="53" fillId="0" borderId="48" xfId="15" applyFont="1" applyBorder="1" applyAlignment="1">
      <alignment horizontal="left" vertical="center" wrapText="1"/>
    </xf>
    <xf numFmtId="4" fontId="53" fillId="0" borderId="4" xfId="15" applyNumberFormat="1" applyFont="1" applyFill="1" applyBorder="1" applyAlignment="1">
      <alignment horizontal="center" vertical="center" wrapText="1"/>
    </xf>
    <xf numFmtId="0" fontId="53" fillId="0" borderId="4" xfId="15" applyFont="1" applyFill="1" applyBorder="1" applyAlignment="1">
      <alignment horizontal="left" vertical="center" wrapText="1"/>
    </xf>
    <xf numFmtId="1" fontId="53" fillId="0" borderId="4" xfId="15" applyNumberFormat="1" applyFont="1" applyFill="1" applyBorder="1" applyAlignment="1">
      <alignment horizontal="center" vertical="center" wrapText="1"/>
    </xf>
    <xf numFmtId="0" fontId="53" fillId="0" borderId="7" xfId="15" applyFont="1" applyBorder="1" applyAlignment="1">
      <alignment horizontal="center" vertical="center" wrapText="1"/>
    </xf>
    <xf numFmtId="0" fontId="53" fillId="0" borderId="39" xfId="15" applyFont="1" applyFill="1" applyBorder="1" applyAlignment="1">
      <alignment horizontal="center" vertical="center" wrapText="1"/>
    </xf>
    <xf numFmtId="0" fontId="54" fillId="0" borderId="1" xfId="15" applyFont="1" applyFill="1" applyBorder="1" applyAlignment="1">
      <alignment vertical="top"/>
    </xf>
    <xf numFmtId="0" fontId="53" fillId="0" borderId="40" xfId="15" applyFont="1" applyBorder="1" applyAlignment="1">
      <alignment horizontal="left" vertical="center" wrapText="1"/>
    </xf>
    <xf numFmtId="4" fontId="53" fillId="0" borderId="40" xfId="15" applyNumberFormat="1" applyFont="1" applyFill="1" applyBorder="1" applyAlignment="1">
      <alignment horizontal="center" vertical="center" wrapText="1"/>
    </xf>
    <xf numFmtId="0" fontId="53" fillId="0" borderId="40" xfId="15" applyFont="1" applyFill="1" applyBorder="1" applyAlignment="1">
      <alignment horizontal="left" vertical="center" wrapText="1"/>
    </xf>
    <xf numFmtId="1" fontId="53" fillId="0" borderId="40" xfId="15" applyNumberFormat="1" applyFont="1" applyFill="1" applyBorder="1" applyAlignment="1">
      <alignment horizontal="center" vertical="center" wrapText="1"/>
    </xf>
    <xf numFmtId="0" fontId="53" fillId="0" borderId="2" xfId="15" applyFont="1" applyBorder="1" applyAlignment="1">
      <alignment horizontal="center" vertical="center" wrapText="1"/>
    </xf>
    <xf numFmtId="0" fontId="53" fillId="0" borderId="16" xfId="15" applyFont="1" applyFill="1" applyBorder="1" applyAlignment="1">
      <alignment horizontal="left" vertical="center" wrapText="1"/>
    </xf>
    <xf numFmtId="0" fontId="53" fillId="0" borderId="6" xfId="15" applyFont="1" applyFill="1" applyBorder="1" applyAlignment="1">
      <alignment horizontal="center" vertical="center" wrapText="1"/>
    </xf>
    <xf numFmtId="0" fontId="53" fillId="0" borderId="6" xfId="15" applyFont="1" applyBorder="1" applyAlignment="1">
      <alignment horizontal="center" vertical="center" wrapText="1"/>
    </xf>
    <xf numFmtId="0" fontId="53" fillId="0" borderId="3" xfId="15" applyFont="1" applyFill="1" applyBorder="1" applyAlignment="1" applyProtection="1">
      <alignment horizontal="left" vertical="center" wrapText="1"/>
      <protection locked="0"/>
    </xf>
    <xf numFmtId="4" fontId="53" fillId="0" borderId="3" xfId="15" applyNumberFormat="1" applyFont="1" applyFill="1" applyBorder="1" applyAlignment="1">
      <alignment horizontal="center" vertical="center" wrapText="1"/>
    </xf>
    <xf numFmtId="0" fontId="53" fillId="0" borderId="3" xfId="15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0" fontId="53" fillId="0" borderId="3" xfId="15" applyFont="1" applyFill="1" applyBorder="1" applyAlignment="1" applyProtection="1">
      <alignment horizontal="left" vertical="top" wrapText="1"/>
      <protection locked="0"/>
    </xf>
    <xf numFmtId="0" fontId="53" fillId="0" borderId="3" xfId="15" applyFont="1" applyFill="1" applyBorder="1" applyAlignment="1" applyProtection="1">
      <alignment horizontal="center" vertical="center" wrapText="1"/>
      <protection locked="0"/>
    </xf>
    <xf numFmtId="0" fontId="53" fillId="0" borderId="1" xfId="15" applyFont="1" applyFill="1" applyBorder="1" applyAlignment="1" applyProtection="1">
      <alignment horizontal="center" vertical="center" wrapText="1"/>
      <protection locked="0"/>
    </xf>
    <xf numFmtId="4" fontId="53" fillId="0" borderId="22" xfId="15" applyNumberFormat="1" applyFont="1" applyFill="1" applyBorder="1" applyAlignment="1" applyProtection="1">
      <alignment vertical="center" wrapText="1"/>
      <protection locked="0"/>
    </xf>
    <xf numFmtId="16" fontId="19" fillId="0" borderId="20" xfId="15" applyNumberFormat="1" applyFont="1" applyFill="1" applyBorder="1" applyAlignment="1">
      <alignment horizontal="right" vertical="center" wrapText="1"/>
    </xf>
    <xf numFmtId="0" fontId="53" fillId="0" borderId="3" xfId="15" applyFont="1" applyFill="1" applyBorder="1" applyAlignment="1" applyProtection="1">
      <alignment horizontal="left" vertical="center"/>
      <protection locked="0"/>
    </xf>
    <xf numFmtId="0" fontId="53" fillId="0" borderId="3" xfId="15" applyFont="1" applyFill="1" applyBorder="1" applyAlignment="1" applyProtection="1">
      <alignment horizontal="center" vertical="top" wrapText="1"/>
      <protection locked="0"/>
    </xf>
    <xf numFmtId="4" fontId="5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56" fillId="0" borderId="0" xfId="0" applyFont="1" applyBorder="1"/>
    <xf numFmtId="9" fontId="53" fillId="0" borderId="3" xfId="15" applyNumberFormat="1" applyFont="1" applyBorder="1" applyAlignment="1">
      <alignment horizontal="center" vertical="center" wrapText="1"/>
    </xf>
    <xf numFmtId="3" fontId="53" fillId="0" borderId="3" xfId="15" applyNumberFormat="1" applyFont="1" applyBorder="1" applyAlignment="1">
      <alignment horizontal="center" vertical="center" wrapText="1"/>
    </xf>
    <xf numFmtId="4" fontId="53" fillId="0" borderId="3" xfId="15" applyNumberFormat="1" applyFont="1" applyFill="1" applyBorder="1" applyAlignment="1">
      <alignment horizontal="right" vertical="center" wrapText="1"/>
    </xf>
    <xf numFmtId="0" fontId="53" fillId="0" borderId="14" xfId="15" applyFont="1" applyBorder="1" applyAlignment="1">
      <alignment horizontal="center" vertical="center" wrapText="1"/>
    </xf>
    <xf numFmtId="0" fontId="53" fillId="4" borderId="6" xfId="15" applyFont="1" applyFill="1" applyBorder="1" applyAlignment="1">
      <alignment vertical="center" wrapText="1"/>
    </xf>
    <xf numFmtId="0" fontId="53" fillId="4" borderId="6" xfId="15" applyFont="1" applyFill="1" applyBorder="1" applyAlignment="1">
      <alignment horizontal="center" vertical="center" wrapText="1"/>
    </xf>
    <xf numFmtId="4" fontId="53" fillId="4" borderId="6" xfId="15" applyNumberFormat="1" applyFont="1" applyFill="1" applyBorder="1" applyAlignment="1">
      <alignment horizontal="center" vertical="center" wrapText="1"/>
    </xf>
    <xf numFmtId="0" fontId="53" fillId="4" borderId="6" xfId="15" applyFont="1" applyFill="1" applyBorder="1" applyAlignment="1">
      <alignment horizontal="left" vertical="center" wrapText="1"/>
    </xf>
    <xf numFmtId="4" fontId="53" fillId="4" borderId="30" xfId="15" applyNumberFormat="1" applyFont="1" applyFill="1" applyBorder="1" applyAlignment="1">
      <alignment horizontal="right" vertical="center" wrapText="1"/>
    </xf>
    <xf numFmtId="0" fontId="54" fillId="0" borderId="0" xfId="0" applyFont="1" applyFill="1" applyAlignment="1">
      <alignment vertical="center"/>
    </xf>
    <xf numFmtId="0" fontId="53" fillId="0" borderId="0" xfId="0" applyFont="1" applyFill="1"/>
    <xf numFmtId="9" fontId="53" fillId="0" borderId="3" xfId="15" applyNumberFormat="1" applyFont="1" applyFill="1" applyBorder="1" applyAlignment="1">
      <alignment horizontal="center" vertical="center" wrapText="1"/>
    </xf>
    <xf numFmtId="3" fontId="53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Border="1" applyAlignment="1">
      <alignment horizontal="center" vertical="center" wrapText="1"/>
    </xf>
    <xf numFmtId="0" fontId="53" fillId="0" borderId="7" xfId="15" applyFont="1" applyFill="1" applyBorder="1" applyAlignment="1">
      <alignment vertical="center" wrapText="1"/>
    </xf>
    <xf numFmtId="4" fontId="53" fillId="0" borderId="7" xfId="15" applyNumberFormat="1" applyFont="1" applyBorder="1" applyAlignment="1">
      <alignment horizontal="center" vertical="center" wrapText="1"/>
    </xf>
    <xf numFmtId="0" fontId="53" fillId="0" borderId="7" xfId="15" applyFont="1" applyBorder="1" applyAlignment="1">
      <alignment horizontal="left" vertical="center" wrapText="1"/>
    </xf>
    <xf numFmtId="0" fontId="55" fillId="0" borderId="7" xfId="15" applyFont="1" applyBorder="1" applyAlignment="1">
      <alignment horizontal="center" vertical="center" wrapText="1"/>
    </xf>
    <xf numFmtId="9" fontId="53" fillId="0" borderId="7" xfId="15" applyNumberFormat="1" applyFont="1" applyFill="1" applyBorder="1" applyAlignment="1">
      <alignment horizontal="center" vertical="center" wrapText="1"/>
    </xf>
    <xf numFmtId="4" fontId="53" fillId="0" borderId="7" xfId="15" applyNumberFormat="1" applyFont="1" applyFill="1" applyBorder="1" applyAlignment="1">
      <alignment horizontal="center" vertical="center" wrapText="1"/>
    </xf>
    <xf numFmtId="0" fontId="53" fillId="0" borderId="7" xfId="15" applyFont="1" applyFill="1" applyBorder="1" applyAlignment="1">
      <alignment horizontal="center" vertical="center" wrapText="1"/>
    </xf>
    <xf numFmtId="3" fontId="53" fillId="0" borderId="7" xfId="15" applyNumberFormat="1" applyFont="1" applyFill="1" applyBorder="1" applyAlignment="1">
      <alignment horizontal="center" vertical="center" wrapText="1"/>
    </xf>
    <xf numFmtId="0" fontId="54" fillId="0" borderId="1" xfId="15" applyFont="1" applyFill="1" applyBorder="1" applyAlignment="1">
      <alignment vertical="center"/>
    </xf>
    <xf numFmtId="0" fontId="53" fillId="0" borderId="40" xfId="15" applyFont="1" applyBorder="1" applyAlignment="1">
      <alignment horizontal="center" vertical="center" wrapText="1"/>
    </xf>
    <xf numFmtId="4" fontId="53" fillId="0" borderId="40" xfId="15" applyNumberFormat="1" applyFont="1" applyBorder="1" applyAlignment="1">
      <alignment horizontal="center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0" fontId="53" fillId="0" borderId="7" xfId="15" applyFont="1" applyFill="1" applyBorder="1" applyAlignment="1">
      <alignment horizontal="left" vertical="center" wrapText="1"/>
    </xf>
    <xf numFmtId="9" fontId="53" fillId="0" borderId="40" xfId="15" applyNumberFormat="1" applyFont="1" applyFill="1" applyBorder="1" applyAlignment="1">
      <alignment horizontal="center" vertical="center" wrapText="1"/>
    </xf>
    <xf numFmtId="0" fontId="53" fillId="0" borderId="40" xfId="15" applyFont="1" applyFill="1" applyBorder="1" applyAlignment="1">
      <alignment horizontal="center" vertical="center" wrapText="1"/>
    </xf>
    <xf numFmtId="3" fontId="53" fillId="0" borderId="2" xfId="15" applyNumberFormat="1" applyFont="1" applyFill="1" applyBorder="1" applyAlignment="1">
      <alignment horizontal="center" vertical="center" wrapText="1"/>
    </xf>
    <xf numFmtId="0" fontId="54" fillId="0" borderId="46" xfId="15" applyFont="1" applyFill="1" applyBorder="1" applyAlignment="1">
      <alignment vertical="center"/>
    </xf>
    <xf numFmtId="9" fontId="53" fillId="0" borderId="47" xfId="15" applyNumberFormat="1" applyFont="1" applyFill="1" applyBorder="1" applyAlignment="1">
      <alignment horizontal="center" vertical="center" wrapText="1"/>
    </xf>
    <xf numFmtId="4" fontId="53" fillId="0" borderId="47" xfId="15" applyNumberFormat="1" applyFont="1" applyFill="1" applyBorder="1" applyAlignment="1">
      <alignment horizontal="center" vertical="center" wrapText="1"/>
    </xf>
    <xf numFmtId="0" fontId="53" fillId="0" borderId="47" xfId="15" applyFont="1" applyFill="1" applyBorder="1" applyAlignment="1">
      <alignment horizontal="left" vertical="center" wrapText="1"/>
    </xf>
    <xf numFmtId="0" fontId="53" fillId="0" borderId="47" xfId="15" applyFont="1" applyFill="1" applyBorder="1" applyAlignment="1">
      <alignment horizontal="center" vertical="center" wrapText="1"/>
    </xf>
    <xf numFmtId="3" fontId="53" fillId="0" borderId="48" xfId="15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53" fillId="0" borderId="6" xfId="15" applyFont="1" applyBorder="1" applyAlignment="1">
      <alignment horizontal="left" vertical="center" wrapText="1"/>
    </xf>
    <xf numFmtId="0" fontId="53" fillId="0" borderId="3" xfId="0" applyFont="1" applyBorder="1" applyAlignment="1">
      <alignment horizontal="center"/>
    </xf>
    <xf numFmtId="3" fontId="53" fillId="0" borderId="7" xfId="15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0" borderId="0" xfId="0" applyFont="1"/>
    <xf numFmtId="0" fontId="54" fillId="0" borderId="3" xfId="15" applyFont="1" applyBorder="1" applyAlignment="1">
      <alignment horizontal="left" vertical="center"/>
    </xf>
    <xf numFmtId="10" fontId="53" fillId="0" borderId="3" xfId="15" applyNumberFormat="1" applyFont="1" applyBorder="1" applyAlignment="1">
      <alignment horizontal="center" vertical="center" wrapText="1"/>
    </xf>
    <xf numFmtId="4" fontId="57" fillId="0" borderId="3" xfId="15" applyNumberFormat="1" applyFont="1" applyBorder="1" applyAlignment="1">
      <alignment horizontal="center" vertical="center" wrapText="1" shrinkToFit="1"/>
    </xf>
    <xf numFmtId="0" fontId="53" fillId="0" borderId="3" xfId="15" applyFont="1" applyBorder="1" applyAlignment="1">
      <alignment horizontal="center" vertical="center" wrapText="1" shrinkToFit="1"/>
    </xf>
    <xf numFmtId="0" fontId="54" fillId="0" borderId="21" xfId="15" applyFont="1" applyBorder="1" applyAlignment="1">
      <alignment horizontal="center" vertical="center" wrapText="1"/>
    </xf>
    <xf numFmtId="0" fontId="54" fillId="0" borderId="37" xfId="15" applyFont="1" applyBorder="1" applyAlignment="1">
      <alignment horizontal="left" vertical="center" wrapText="1"/>
    </xf>
    <xf numFmtId="4" fontId="54" fillId="0" borderId="37" xfId="15" applyNumberFormat="1" applyFont="1" applyBorder="1" applyAlignment="1">
      <alignment horizontal="center" vertical="center" wrapText="1" shrinkToFit="1"/>
    </xf>
    <xf numFmtId="0" fontId="54" fillId="0" borderId="37" xfId="15" applyFont="1" applyBorder="1" applyAlignment="1">
      <alignment horizontal="center" vertical="center" wrapText="1" shrinkToFit="1"/>
    </xf>
    <xf numFmtId="4" fontId="54" fillId="0" borderId="49" xfId="15" applyNumberFormat="1" applyFont="1" applyFill="1" applyBorder="1" applyAlignment="1">
      <alignment horizontal="right" vertical="center" wrapText="1"/>
    </xf>
    <xf numFmtId="0" fontId="54" fillId="0" borderId="0" xfId="0" applyFont="1"/>
    <xf numFmtId="0" fontId="20" fillId="0" borderId="2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/>
    </xf>
    <xf numFmtId="4" fontId="53" fillId="0" borderId="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right" vertical="center" wrapText="1"/>
    </xf>
    <xf numFmtId="0" fontId="53" fillId="0" borderId="1" xfId="15" applyFont="1" applyBorder="1" applyAlignment="1">
      <alignment horizontal="center" vertical="center" wrapText="1"/>
    </xf>
    <xf numFmtId="0" fontId="53" fillId="0" borderId="1" xfId="15" applyFont="1" applyFill="1" applyBorder="1" applyAlignment="1">
      <alignment horizontal="center" vertical="center" wrapText="1"/>
    </xf>
    <xf numFmtId="0" fontId="53" fillId="0" borderId="46" xfId="15" applyFont="1" applyFill="1" applyBorder="1" applyAlignment="1">
      <alignment horizontal="center" vertical="center" wrapText="1"/>
    </xf>
    <xf numFmtId="4" fontId="53" fillId="0" borderId="48" xfId="15" applyNumberFormat="1" applyFont="1" applyFill="1" applyBorder="1" applyAlignment="1">
      <alignment horizontal="right" vertical="center" wrapText="1"/>
    </xf>
    <xf numFmtId="4" fontId="53" fillId="0" borderId="16" xfId="15" applyNumberFormat="1" applyFont="1" applyFill="1" applyBorder="1" applyAlignment="1">
      <alignment horizontal="right" vertical="center" wrapText="1"/>
    </xf>
    <xf numFmtId="4" fontId="55" fillId="0" borderId="48" xfId="15" applyNumberFormat="1" applyFont="1" applyFill="1" applyBorder="1" applyAlignment="1">
      <alignment horizontal="right" vertical="center" wrapText="1"/>
    </xf>
    <xf numFmtId="4" fontId="55" fillId="0" borderId="16" xfId="15" applyNumberFormat="1" applyFont="1" applyFill="1" applyBorder="1" applyAlignment="1">
      <alignment horizontal="right" vertical="center" wrapText="1"/>
    </xf>
    <xf numFmtId="4" fontId="54" fillId="0" borderId="3" xfId="15" applyNumberFormat="1" applyFont="1" applyFill="1" applyBorder="1" applyAlignment="1">
      <alignment horizontal="right" vertical="center" wrapText="1"/>
    </xf>
    <xf numFmtId="0" fontId="10" fillId="0" borderId="3" xfId="5" applyFont="1" applyBorder="1" applyAlignment="1">
      <alignment horizontal="center" vertical="center" wrapText="1"/>
    </xf>
    <xf numFmtId="0" fontId="27" fillId="0" borderId="3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/>
    </xf>
    <xf numFmtId="2" fontId="10" fillId="0" borderId="0" xfId="13" applyNumberFormat="1" applyFont="1" applyBorder="1" applyAlignment="1" applyProtection="1">
      <alignment horizontal="center" vertical="top" wrapText="1"/>
      <protection locked="0"/>
    </xf>
    <xf numFmtId="0" fontId="10" fillId="0" borderId="0" xfId="13" applyFont="1" applyBorder="1" applyAlignment="1" applyProtection="1">
      <alignment horizontal="center" vertical="top" wrapText="1"/>
      <protection locked="0"/>
    </xf>
    <xf numFmtId="0" fontId="9" fillId="0" borderId="0" xfId="5" applyFont="1" applyAlignment="1">
      <alignment horizontal="center"/>
    </xf>
    <xf numFmtId="0" fontId="10" fillId="3" borderId="3" xfId="5" applyFont="1" applyFill="1" applyBorder="1" applyAlignment="1">
      <alignment horizontal="left" vertical="center" wrapText="1"/>
    </xf>
    <xf numFmtId="0" fontId="26" fillId="0" borderId="28" xfId="3" quotePrefix="1" applyFont="1" applyBorder="1" applyAlignment="1">
      <alignment horizontal="left" vertical="center" wrapText="1"/>
    </xf>
    <xf numFmtId="0" fontId="9" fillId="0" borderId="1" xfId="5" applyFont="1" applyBorder="1" applyAlignment="1">
      <alignment horizontal="right" vertical="center" wrapText="1"/>
    </xf>
    <xf numFmtId="0" fontId="9" fillId="0" borderId="40" xfId="5" applyFont="1" applyBorder="1" applyAlignment="1">
      <alignment horizontal="right" vertical="center" wrapText="1"/>
    </xf>
    <xf numFmtId="0" fontId="9" fillId="0" borderId="2" xfId="5" applyFont="1" applyBorder="1" applyAlignment="1">
      <alignment horizontal="right" vertical="center" wrapText="1"/>
    </xf>
    <xf numFmtId="0" fontId="27" fillId="0" borderId="3" xfId="3" quotePrefix="1" applyFont="1" applyBorder="1" applyAlignment="1">
      <alignment horizontal="right" vertical="center" wrapText="1"/>
    </xf>
    <xf numFmtId="0" fontId="10" fillId="0" borderId="3" xfId="5" applyFont="1" applyBorder="1" applyAlignment="1">
      <alignment horizontal="right" vertical="center" wrapText="1"/>
    </xf>
    <xf numFmtId="0" fontId="26" fillId="0" borderId="3" xfId="3" quotePrefix="1" applyFont="1" applyBorder="1" applyAlignment="1">
      <alignment horizontal="right" vertical="center" wrapText="1"/>
    </xf>
    <xf numFmtId="0" fontId="28" fillId="0" borderId="3" xfId="0" applyFont="1" applyBorder="1" applyAlignment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19" fillId="0" borderId="31" xfId="0" applyFont="1" applyFill="1" applyBorder="1" applyAlignment="1" applyProtection="1">
      <alignment horizontal="center" vertical="center"/>
      <protection locked="0"/>
    </xf>
    <xf numFmtId="0" fontId="19" fillId="0" borderId="32" xfId="0" applyFont="1" applyFill="1" applyBorder="1" applyAlignment="1" applyProtection="1">
      <alignment horizontal="center" vertical="center"/>
      <protection locked="0"/>
    </xf>
    <xf numFmtId="0" fontId="19" fillId="0" borderId="12" xfId="0" applyFont="1" applyFill="1" applyBorder="1" applyAlignment="1" applyProtection="1">
      <alignment horizontal="center" vertical="center"/>
      <protection locked="0"/>
    </xf>
    <xf numFmtId="0" fontId="28" fillId="0" borderId="3" xfId="0" applyFont="1" applyFill="1" applyBorder="1" applyAlignment="1">
      <alignment horizontal="left" wrapText="1"/>
    </xf>
    <xf numFmtId="0" fontId="28" fillId="0" borderId="3" xfId="0" applyFont="1" applyBorder="1" applyAlignment="1">
      <alignment vertical="center" wrapText="1"/>
    </xf>
    <xf numFmtId="0" fontId="28" fillId="0" borderId="3" xfId="15" applyFont="1" applyFill="1" applyBorder="1" applyAlignment="1">
      <alignment horizontal="left" vertical="center" wrapText="1"/>
    </xf>
    <xf numFmtId="0" fontId="28" fillId="0" borderId="0" xfId="15" applyFont="1" applyFill="1" applyBorder="1" applyAlignment="1" applyProtection="1">
      <alignment horizontal="left" vertical="center" wrapText="1"/>
      <protection locked="0"/>
    </xf>
    <xf numFmtId="0" fontId="28" fillId="0" borderId="3" xfId="15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25" xfId="0" applyFont="1" applyFill="1" applyBorder="1" applyAlignment="1" applyProtection="1">
      <alignment horizontal="center" vertical="center" wrapText="1"/>
      <protection locked="0"/>
    </xf>
    <xf numFmtId="2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6" xfId="0" applyFont="1" applyFill="1" applyBorder="1" applyAlignment="1" applyProtection="1">
      <alignment horizontal="center" vertical="center" wrapText="1"/>
      <protection locked="0"/>
    </xf>
    <xf numFmtId="0" fontId="19" fillId="0" borderId="46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/>
    </xf>
    <xf numFmtId="0" fontId="19" fillId="0" borderId="13" xfId="15" applyNumberFormat="1" applyFont="1" applyBorder="1" applyAlignment="1" applyProtection="1">
      <alignment horizontal="center" vertical="center"/>
      <protection locked="0"/>
    </xf>
    <xf numFmtId="0" fontId="19" fillId="0" borderId="44" xfId="15" applyNumberFormat="1" applyFont="1" applyBorder="1" applyAlignment="1" applyProtection="1">
      <alignment horizontal="center" vertical="center"/>
      <protection locked="0"/>
    </xf>
    <xf numFmtId="0" fontId="19" fillId="0" borderId="5" xfId="0" applyFont="1" applyFill="1" applyBorder="1" applyAlignment="1" applyProtection="1">
      <alignment horizontal="left" vertical="center" wrapText="1"/>
      <protection locked="0"/>
    </xf>
    <xf numFmtId="0" fontId="19" fillId="0" borderId="10" xfId="15" applyFont="1" applyFill="1" applyBorder="1" applyAlignment="1">
      <alignment horizontal="center" vertical="center" wrapText="1"/>
    </xf>
    <xf numFmtId="0" fontId="19" fillId="0" borderId="26" xfId="15" applyFont="1" applyFill="1" applyBorder="1" applyAlignment="1">
      <alignment horizontal="center" vertical="center" wrapText="1"/>
    </xf>
    <xf numFmtId="0" fontId="19" fillId="0" borderId="25" xfId="15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vertical="top" wrapText="1"/>
    </xf>
    <xf numFmtId="0" fontId="19" fillId="0" borderId="13" xfId="0" applyFont="1" applyFill="1" applyBorder="1" applyAlignment="1" applyProtection="1">
      <alignment horizontal="center" vertical="top"/>
      <protection locked="0"/>
    </xf>
    <xf numFmtId="0" fontId="20" fillId="0" borderId="10" xfId="1" applyFont="1" applyFill="1" applyBorder="1" applyAlignment="1">
      <alignment horizontal="center" vertical="center"/>
    </xf>
    <xf numFmtId="0" fontId="20" fillId="0" borderId="26" xfId="1" applyFont="1" applyFill="1" applyBorder="1" applyAlignment="1">
      <alignment horizontal="center" vertical="center"/>
    </xf>
    <xf numFmtId="0" fontId="20" fillId="0" borderId="25" xfId="1" applyFont="1" applyFill="1" applyBorder="1" applyAlignment="1">
      <alignment horizontal="center" vertical="center"/>
    </xf>
    <xf numFmtId="0" fontId="20" fillId="0" borderId="8" xfId="15" applyFont="1" applyFill="1" applyBorder="1" applyAlignment="1">
      <alignment horizontal="left" vertical="center"/>
    </xf>
    <xf numFmtId="0" fontId="20" fillId="0" borderId="26" xfId="15" applyFont="1" applyFill="1" applyBorder="1" applyAlignment="1">
      <alignment horizontal="left" vertical="center"/>
    </xf>
    <xf numFmtId="0" fontId="20" fillId="0" borderId="18" xfId="15" applyFont="1" applyFill="1" applyBorder="1" applyAlignment="1">
      <alignment horizontal="left" vertical="center"/>
    </xf>
    <xf numFmtId="0" fontId="20" fillId="0" borderId="5" xfId="0" applyFont="1" applyFill="1" applyBorder="1" applyAlignment="1" applyProtection="1">
      <alignment horizontal="left" vertical="center" wrapText="1"/>
      <protection locked="0"/>
    </xf>
    <xf numFmtId="0" fontId="20" fillId="0" borderId="31" xfId="0" applyFont="1" applyFill="1" applyBorder="1" applyAlignment="1" applyProtection="1">
      <alignment horizontal="left" vertical="top" wrapText="1"/>
      <protection locked="0"/>
    </xf>
    <xf numFmtId="0" fontId="20" fillId="0" borderId="32" xfId="0" applyFont="1" applyFill="1" applyBorder="1" applyAlignment="1" applyProtection="1">
      <alignment horizontal="left" vertical="top" wrapText="1"/>
      <protection locked="0"/>
    </xf>
    <xf numFmtId="0" fontId="20" fillId="0" borderId="12" xfId="0" applyFont="1" applyFill="1" applyBorder="1" applyAlignment="1" applyProtection="1">
      <alignment horizontal="left" vertical="top" wrapText="1"/>
      <protection locked="0"/>
    </xf>
    <xf numFmtId="0" fontId="20" fillId="0" borderId="27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20" fillId="0" borderId="35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16" fillId="0" borderId="0" xfId="10" applyNumberFormat="1" applyFont="1" applyFill="1" applyAlignment="1">
      <alignment horizontal="center" vertical="center" wrapText="1"/>
    </xf>
    <xf numFmtId="0" fontId="16" fillId="0" borderId="0" xfId="10" applyFont="1" applyFill="1" applyAlignment="1">
      <alignment horizontal="center" vertical="center" wrapText="1"/>
    </xf>
    <xf numFmtId="0" fontId="35" fillId="0" borderId="0" xfId="10" applyFont="1" applyFill="1" applyBorder="1" applyAlignment="1">
      <alignment horizontal="center" vertical="center" wrapText="1"/>
    </xf>
    <xf numFmtId="0" fontId="33" fillId="0" borderId="3" xfId="10" applyFont="1" applyFill="1" applyBorder="1" applyAlignment="1">
      <alignment horizontal="center" vertical="center" wrapText="1"/>
    </xf>
    <xf numFmtId="0" fontId="33" fillId="0" borderId="0" xfId="10" applyFont="1" applyFill="1" applyAlignment="1">
      <alignment horizontal="center" vertical="center"/>
    </xf>
    <xf numFmtId="0" fontId="53" fillId="0" borderId="7" xfId="15" applyFont="1" applyBorder="1" applyAlignment="1">
      <alignment horizontal="center" vertical="center" wrapText="1"/>
    </xf>
    <xf numFmtId="0" fontId="53" fillId="0" borderId="6" xfId="15" applyFont="1" applyBorder="1" applyAlignment="1">
      <alignment horizontal="center" vertical="center" wrapText="1"/>
    </xf>
    <xf numFmtId="0" fontId="53" fillId="0" borderId="7" xfId="15" applyFont="1" applyFill="1" applyBorder="1" applyAlignment="1">
      <alignment horizontal="left" vertical="center" wrapText="1"/>
    </xf>
    <xf numFmtId="0" fontId="53" fillId="0" borderId="6" xfId="15" applyFont="1" applyFill="1" applyBorder="1" applyAlignment="1">
      <alignment horizontal="left" vertical="center" wrapText="1"/>
    </xf>
    <xf numFmtId="3" fontId="53" fillId="0" borderId="7" xfId="15" applyNumberFormat="1" applyFont="1" applyBorder="1" applyAlignment="1">
      <alignment horizontal="center" vertical="center" wrapText="1"/>
    </xf>
    <xf numFmtId="3" fontId="53" fillId="0" borderId="6" xfId="15" applyNumberFormat="1" applyFont="1" applyBorder="1" applyAlignment="1">
      <alignment horizontal="center" vertical="center" wrapText="1"/>
    </xf>
    <xf numFmtId="2" fontId="54" fillId="0" borderId="0" xfId="15" applyNumberFormat="1" applyFont="1" applyBorder="1" applyAlignment="1" applyProtection="1">
      <alignment horizontal="center" vertical="center" wrapText="1"/>
      <protection locked="0"/>
    </xf>
    <xf numFmtId="0" fontId="53" fillId="0" borderId="1" xfId="15" applyFont="1" applyFill="1" applyBorder="1" applyAlignment="1" applyProtection="1">
      <alignment horizontal="center" vertical="top" wrapText="1"/>
      <protection locked="0"/>
    </xf>
    <xf numFmtId="0" fontId="53" fillId="0" borderId="40" xfId="15" applyFont="1" applyFill="1" applyBorder="1" applyAlignment="1" applyProtection="1">
      <alignment horizontal="center" vertical="top" wrapText="1"/>
      <protection locked="0"/>
    </xf>
    <xf numFmtId="0" fontId="53" fillId="0" borderId="2" xfId="15" applyFont="1" applyFill="1" applyBorder="1" applyAlignment="1" applyProtection="1">
      <alignment horizontal="center" vertical="top" wrapText="1"/>
      <protection locked="0"/>
    </xf>
    <xf numFmtId="0" fontId="51" fillId="0" borderId="8" xfId="15" quotePrefix="1" applyFont="1" applyFill="1" applyBorder="1" applyAlignment="1" applyProtection="1">
      <alignment horizontal="center" vertical="center" wrapText="1"/>
      <protection hidden="1"/>
    </xf>
    <xf numFmtId="0" fontId="51" fillId="0" borderId="18" xfId="15" quotePrefix="1" applyFont="1" applyFill="1" applyBorder="1" applyAlignment="1" applyProtection="1">
      <alignment horizontal="center" vertical="center" wrapText="1"/>
      <protection hidden="1"/>
    </xf>
    <xf numFmtId="0" fontId="53" fillId="0" borderId="0" xfId="15" applyFont="1" applyBorder="1" applyAlignment="1" applyProtection="1">
      <alignment horizontal="left" vertical="center"/>
      <protection locked="0"/>
    </xf>
    <xf numFmtId="0" fontId="54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/>
      <protection locked="0"/>
    </xf>
    <xf numFmtId="2" fontId="10" fillId="0" borderId="0" xfId="15" applyNumberFormat="1" applyFont="1" applyBorder="1" applyAlignment="1" applyProtection="1">
      <alignment horizontal="center" vertical="center" wrapText="1"/>
      <protection locked="0"/>
    </xf>
    <xf numFmtId="2" fontId="9" fillId="0" borderId="0" xfId="15" applyNumberFormat="1" applyFont="1" applyBorder="1" applyAlignment="1" applyProtection="1">
      <alignment horizontal="center" vertical="center" wrapText="1"/>
      <protection locked="0"/>
    </xf>
    <xf numFmtId="0" fontId="20" fillId="0" borderId="0" xfId="15" applyFont="1" applyBorder="1" applyAlignment="1" applyProtection="1">
      <alignment horizontal="center" vertical="center"/>
      <protection locked="0"/>
    </xf>
    <xf numFmtId="2" fontId="20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20" fillId="0" borderId="26" xfId="15" applyNumberFormat="1" applyFont="1" applyFill="1" applyBorder="1" applyAlignment="1" applyProtection="1">
      <alignment horizontal="left" vertical="center" wrapText="1"/>
      <protection locked="0"/>
    </xf>
    <xf numFmtId="2" fontId="20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20" fillId="0" borderId="8" xfId="15" applyFont="1" applyFill="1" applyBorder="1" applyAlignment="1">
      <alignment horizontal="left" vertical="center" wrapText="1"/>
    </xf>
    <xf numFmtId="0" fontId="20" fillId="0" borderId="26" xfId="15" applyFont="1" applyFill="1" applyBorder="1" applyAlignment="1">
      <alignment horizontal="left" vertical="center" wrapText="1"/>
    </xf>
    <xf numFmtId="0" fontId="20" fillId="0" borderId="18" xfId="15" applyFont="1" applyFill="1" applyBorder="1" applyAlignment="1">
      <alignment horizontal="left" vertical="center" wrapText="1"/>
    </xf>
    <xf numFmtId="0" fontId="20" fillId="0" borderId="3" xfId="15" applyFont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left" vertical="center" wrapText="1"/>
      <protection locked="0"/>
    </xf>
    <xf numFmtId="0" fontId="19" fillId="0" borderId="3" xfId="15" applyFont="1" applyBorder="1" applyAlignment="1" applyProtection="1">
      <alignment horizontal="left" vertical="center" wrapText="1"/>
      <protection locked="0"/>
    </xf>
    <xf numFmtId="0" fontId="20" fillId="0" borderId="8" xfId="0" applyFont="1" applyFill="1" applyBorder="1" applyAlignment="1" applyProtection="1">
      <alignment horizontal="left" vertical="center" wrapText="1"/>
      <protection locked="0"/>
    </xf>
    <xf numFmtId="0" fontId="20" fillId="0" borderId="26" xfId="0" applyFont="1" applyFill="1" applyBorder="1" applyAlignment="1" applyProtection="1">
      <alignment horizontal="left" vertical="center" wrapText="1"/>
      <protection locked="0"/>
    </xf>
    <xf numFmtId="2" fontId="20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9" fillId="0" borderId="31" xfId="0" applyNumberFormat="1" applyFont="1" applyBorder="1" applyAlignment="1">
      <alignment horizontal="center" vertical="center" wrapText="1"/>
    </xf>
    <xf numFmtId="2" fontId="19" fillId="0" borderId="3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</cellXfs>
  <cellStyles count="58">
    <cellStyle name=" 1" xfId="1"/>
    <cellStyle name=" 1 2" xfId="2"/>
    <cellStyle name="S0" xfId="29"/>
    <cellStyle name="S1" xfId="30"/>
    <cellStyle name="S11" xfId="31"/>
    <cellStyle name="S12" xfId="32"/>
    <cellStyle name="S13" xfId="3"/>
    <cellStyle name="S14" xfId="4"/>
    <cellStyle name="S15" xfId="33"/>
    <cellStyle name="S16" xfId="34"/>
    <cellStyle name="S17" xfId="35"/>
    <cellStyle name="S18" xfId="36"/>
    <cellStyle name="S19" xfId="37"/>
    <cellStyle name="S2" xfId="38"/>
    <cellStyle name="S3" xfId="39"/>
    <cellStyle name="S4" xfId="40"/>
    <cellStyle name="S5" xfId="41"/>
    <cellStyle name="S6" xfId="42"/>
    <cellStyle name="S7" xfId="43"/>
    <cellStyle name="Гиперссылка" xfId="17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3 2" xfId="44"/>
    <cellStyle name="Обычный 3 3" xfId="45"/>
    <cellStyle name="Обычный 4" xfId="8"/>
    <cellStyle name="Обычный 4 2" xfId="20"/>
    <cellStyle name="Обычный 5" xfId="9"/>
    <cellStyle name="Обычный 5 2" xfId="21"/>
    <cellStyle name="Обычный 5 2 2" xfId="46"/>
    <cellStyle name="Обычный 5 3" xfId="23"/>
    <cellStyle name="Обычный 5 3 2" xfId="47"/>
    <cellStyle name="Обычный 5 4" xfId="25"/>
    <cellStyle name="Обычный 5 4 2" xfId="48"/>
    <cellStyle name="Обычный 5 5" xfId="27"/>
    <cellStyle name="Обычный 5 5 2" xfId="49"/>
    <cellStyle name="Обычный 5 6" xfId="50"/>
    <cellStyle name="Обычный 6" xfId="18"/>
    <cellStyle name="Обычный 6 2" xfId="26"/>
    <cellStyle name="Обычный 6 2 2" xfId="51"/>
    <cellStyle name="Обычный 6 3" xfId="28"/>
    <cellStyle name="Обычный 6 3 2" xfId="52"/>
    <cellStyle name="Обычный 6 4" xfId="53"/>
    <cellStyle name="Обычный 7" xfId="54"/>
    <cellStyle name="Обычный_SMETA_1" xfId="10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Процентный 3" xfId="55"/>
    <cellStyle name="Стиль 1" xfId="15"/>
    <cellStyle name="Финансовый 2" xfId="16"/>
    <cellStyle name="Финансовый 2 2" xfId="56"/>
    <cellStyle name="Финансовый 3" xfId="5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25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7;&#1087;&#1072;&#1088;&#1072;&#1090;%20&#1059;&#1087;&#1088;&#1072;&#1074;&#1083;&#1077;&#1085;&#1080;&#1103;/&#1057;&#1083;&#1091;&#1078;&#1073;&#1072;%20&#1094;&#1077;&#1085;&#1086;&#1086;&#1073;&#1088;&#1072;&#1079;&#1086;&#1074;&#1072;&#1085;&#1080;&#1103;%20&#1080;%20&#1089;&#1084;&#1077;&#1090;&#1085;&#1086;&#1075;&#1086;%20&#1085;&#1086;&#1088;&#1084;&#1080;&#1088;&#1086;&#1074;&#1072;&#1085;&#1080;&#1103;/&#1044;&#1086;&#1082;&#1091;&#1084;&#1077;&#1085;&#1090;&#1099;%20&#1057;&#1083;&#1091;&#1078;&#1073;&#1099;/&#1055;&#1088;&#1077;&#1076;&#1087;&#1088;&#1086;&#1077;&#1082;&#1090;%202017/&#1042;%20&#1088;&#1072;&#1073;&#1086;&#1090;&#1091;/&#1055;&#1048;&#1056;%20&#1085;&#1072;%20&#1087;&#1088;&#1086;&#1074;&#1077;&#1088;&#1082;&#1091;/&#1064;&#1040;&#1041;&#1051;&#1054;&#1053;%20&#1085;&#1072;%20&#1057;&#1052;&#1045;&#1058;&#1059;%20&#1085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ССР"/>
      <sheetName val=" ССР (нов)"/>
      <sheetName val="Т.с."/>
      <sheetName val="вв-выводы"/>
      <sheetName val="ООС+ТР"/>
      <sheetName val="ТР "/>
      <sheetName val="ПОЖ"/>
      <sheetName val="РДП"/>
      <sheetName val="СОГЛ"/>
      <sheetName val="Перекладка "/>
      <sheetName val="обслед"/>
      <sheetName val="шурф"/>
      <sheetName val="оцен влиян"/>
      <sheetName val="мониторинг"/>
      <sheetName val="экол"/>
      <sheetName val="размножение проекта"/>
    </sheetNames>
    <sheetDataSet>
      <sheetData sheetId="0" refreshError="1"/>
      <sheetData sheetId="1">
        <row r="6">
          <cell r="A6" t="str">
            <v xml:space="preserve"> на реконструкцию разводящей тепловой сети</v>
          </cell>
        </row>
      </sheetData>
      <sheetData sheetId="2">
        <row r="78">
          <cell r="C78">
            <v>82.2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L49"/>
  <sheetViews>
    <sheetView view="pageBreakPreview" zoomScaleNormal="100" zoomScaleSheetLayoutView="100" workbookViewId="0">
      <selection activeCell="B28" sqref="B28"/>
    </sheetView>
  </sheetViews>
  <sheetFormatPr defaultRowHeight="15" x14ac:dyDescent="0.25"/>
  <cols>
    <col min="1" max="1" width="4.7109375" style="17" customWidth="1"/>
    <col min="2" max="2" width="50.85546875" style="17" customWidth="1"/>
    <col min="3" max="3" width="18.140625" style="3" customWidth="1"/>
    <col min="4" max="4" width="22.5703125" style="17" customWidth="1"/>
    <col min="5" max="5" width="17.7109375" style="29" customWidth="1"/>
    <col min="6" max="6" width="23.85546875" style="17" customWidth="1"/>
    <col min="7" max="7" width="16.5703125" style="17" customWidth="1"/>
    <col min="8" max="16384" width="9.140625" style="17"/>
  </cols>
  <sheetData>
    <row r="1" spans="1:12" x14ac:dyDescent="0.25">
      <c r="A1" s="17" t="s">
        <v>66</v>
      </c>
      <c r="C1" s="23"/>
      <c r="D1" s="23"/>
    </row>
    <row r="2" spans="1:12" x14ac:dyDescent="0.25">
      <c r="C2" s="24"/>
      <c r="D2" s="24"/>
      <c r="E2" s="30"/>
    </row>
    <row r="3" spans="1:12" x14ac:dyDescent="0.25">
      <c r="B3" s="25"/>
      <c r="C3" s="24"/>
      <c r="D3" s="24"/>
      <c r="E3" s="30"/>
    </row>
    <row r="4" spans="1:12" x14ac:dyDescent="0.25">
      <c r="B4" s="25"/>
      <c r="D4" s="31"/>
    </row>
    <row r="5" spans="1:12" x14ac:dyDescent="0.25">
      <c r="A5" s="595" t="s">
        <v>305</v>
      </c>
      <c r="B5" s="595"/>
      <c r="C5" s="595"/>
      <c r="D5" s="595"/>
    </row>
    <row r="6" spans="1:12" x14ac:dyDescent="0.25">
      <c r="A6" s="292"/>
      <c r="B6" s="292"/>
      <c r="C6" s="292"/>
      <c r="D6" s="292"/>
    </row>
    <row r="7" spans="1:12" s="33" customFormat="1" ht="50.25" customHeight="1" x14ac:dyDescent="0.2">
      <c r="A7" s="596" t="s">
        <v>222</v>
      </c>
      <c r="B7" s="597"/>
      <c r="C7" s="597"/>
      <c r="D7" s="597"/>
      <c r="E7" s="32"/>
    </row>
    <row r="8" spans="1:12" s="33" customFormat="1" x14ac:dyDescent="0.2">
      <c r="A8" s="34"/>
      <c r="B8" s="35"/>
      <c r="C8" s="35"/>
      <c r="D8" s="35"/>
      <c r="E8" s="32"/>
    </row>
    <row r="9" spans="1:12" x14ac:dyDescent="0.25">
      <c r="A9" s="593" t="s">
        <v>23</v>
      </c>
      <c r="B9" s="593" t="s">
        <v>68</v>
      </c>
      <c r="C9" s="593" t="s">
        <v>69</v>
      </c>
      <c r="D9" s="593" t="s">
        <v>70</v>
      </c>
    </row>
    <row r="10" spans="1:12" ht="24.75" customHeight="1" x14ac:dyDescent="0.25">
      <c r="A10" s="593"/>
      <c r="B10" s="593"/>
      <c r="C10" s="593"/>
      <c r="D10" s="593"/>
    </row>
    <row r="11" spans="1:12" x14ac:dyDescent="0.25">
      <c r="A11" s="291"/>
      <c r="B11" s="291" t="s">
        <v>71</v>
      </c>
      <c r="C11" s="291"/>
      <c r="D11" s="291"/>
    </row>
    <row r="12" spans="1:12" ht="45" x14ac:dyDescent="0.25">
      <c r="A12" s="20">
        <v>1</v>
      </c>
      <c r="B12" s="36" t="s">
        <v>211</v>
      </c>
      <c r="C12" s="20">
        <v>2</v>
      </c>
      <c r="D12" s="395">
        <f>ROUND('Геол, экол, геод'!G35,2)</f>
        <v>137448</v>
      </c>
      <c r="F12" s="37"/>
      <c r="G12" s="38"/>
      <c r="H12" s="38"/>
      <c r="I12" s="38"/>
      <c r="J12" s="38"/>
      <c r="K12" s="38"/>
      <c r="L12" s="39"/>
    </row>
    <row r="13" spans="1:12" x14ac:dyDescent="0.25">
      <c r="A13" s="40"/>
      <c r="B13" s="41" t="s">
        <v>72</v>
      </c>
      <c r="C13" s="41"/>
      <c r="D13" s="396">
        <f>SUM(D12:D12)</f>
        <v>137448</v>
      </c>
      <c r="E13" s="17"/>
    </row>
    <row r="14" spans="1:12" x14ac:dyDescent="0.25">
      <c r="A14" s="20"/>
      <c r="B14" s="291" t="s">
        <v>73</v>
      </c>
      <c r="C14" s="20"/>
      <c r="D14" s="397"/>
      <c r="E14" s="38"/>
      <c r="F14" s="38"/>
      <c r="G14" s="598"/>
      <c r="H14" s="598"/>
      <c r="I14" s="598"/>
      <c r="J14" s="598"/>
    </row>
    <row r="15" spans="1:12" x14ac:dyDescent="0.25">
      <c r="A15" s="20">
        <v>2</v>
      </c>
      <c r="B15" s="36" t="s">
        <v>74</v>
      </c>
      <c r="C15" s="42">
        <v>1</v>
      </c>
      <c r="D15" s="395">
        <f>ROUND(Т.с.!H59,2)</f>
        <v>230270</v>
      </c>
      <c r="F15" s="37"/>
      <c r="G15" s="38"/>
      <c r="H15" s="38"/>
      <c r="I15" s="38"/>
      <c r="J15" s="38"/>
      <c r="K15" s="38"/>
      <c r="L15" s="39"/>
    </row>
    <row r="16" spans="1:12" ht="30" x14ac:dyDescent="0.25">
      <c r="A16" s="333">
        <v>3</v>
      </c>
      <c r="B16" s="36" t="s">
        <v>304</v>
      </c>
      <c r="C16" s="20">
        <v>3</v>
      </c>
      <c r="D16" s="395">
        <f>ROUND('ООС+ТР'!H73,2)</f>
        <v>79695.08</v>
      </c>
    </row>
    <row r="17" spans="1:8" x14ac:dyDescent="0.25">
      <c r="A17" s="333">
        <v>4</v>
      </c>
      <c r="B17" s="43" t="s">
        <v>83</v>
      </c>
      <c r="C17" s="20">
        <v>4</v>
      </c>
      <c r="D17" s="395">
        <f>ROUND(ПОЖ!H21,2)</f>
        <v>4500</v>
      </c>
      <c r="E17" s="44"/>
    </row>
    <row r="18" spans="1:8" x14ac:dyDescent="0.25">
      <c r="A18" s="333">
        <v>5</v>
      </c>
      <c r="B18" s="271" t="s">
        <v>187</v>
      </c>
      <c r="C18" s="20">
        <v>5</v>
      </c>
      <c r="D18" s="395">
        <f>ROUND(СОГЛ!G17,2)</f>
        <v>20647</v>
      </c>
      <c r="E18" s="44"/>
    </row>
    <row r="19" spans="1:8" x14ac:dyDescent="0.25">
      <c r="A19" s="20"/>
      <c r="B19" s="41" t="s">
        <v>100</v>
      </c>
      <c r="C19" s="20"/>
      <c r="D19" s="397">
        <f>SUM(D15:D18)</f>
        <v>335112.08</v>
      </c>
      <c r="E19" s="44"/>
    </row>
    <row r="20" spans="1:8" s="48" customFormat="1" x14ac:dyDescent="0.25">
      <c r="A20" s="21"/>
      <c r="B20" s="599" t="s">
        <v>306</v>
      </c>
      <c r="C20" s="599"/>
      <c r="D20" s="398">
        <f>ROUND(D13+D19,2)</f>
        <v>472560.08</v>
      </c>
      <c r="E20" s="45"/>
      <c r="F20" s="46"/>
      <c r="G20" s="47"/>
    </row>
    <row r="21" spans="1:8" x14ac:dyDescent="0.25">
      <c r="A21" s="605" t="s">
        <v>90</v>
      </c>
      <c r="B21" s="605"/>
      <c r="C21" s="605"/>
      <c r="D21" s="399">
        <f>D13</f>
        <v>137448</v>
      </c>
      <c r="E21" s="14"/>
      <c r="F21" s="15"/>
      <c r="G21" s="16"/>
    </row>
    <row r="22" spans="1:8" s="12" customFormat="1" ht="14.25" hidden="1" x14ac:dyDescent="0.2">
      <c r="A22" s="606" t="s">
        <v>91</v>
      </c>
      <c r="B22" s="606"/>
      <c r="C22" s="606"/>
      <c r="D22" s="13">
        <f>D19*40%</f>
        <v>134044.83200000002</v>
      </c>
    </row>
    <row r="23" spans="1:8" s="12" customFormat="1" ht="14.25" hidden="1" x14ac:dyDescent="0.2">
      <c r="A23" s="606" t="s">
        <v>89</v>
      </c>
      <c r="B23" s="606"/>
      <c r="C23" s="606"/>
      <c r="D23" s="13">
        <f>D19*60%</f>
        <v>201067.24799999999</v>
      </c>
    </row>
    <row r="24" spans="1:8" s="5" customFormat="1" x14ac:dyDescent="0.2">
      <c r="D24" s="6"/>
      <c r="E24" s="7"/>
      <c r="G24" s="9"/>
      <c r="H24" s="8"/>
    </row>
    <row r="25" spans="1:8" s="5" customFormat="1" x14ac:dyDescent="0.2">
      <c r="D25" s="6"/>
      <c r="E25" s="7"/>
      <c r="G25" s="9"/>
      <c r="H25" s="8"/>
    </row>
    <row r="26" spans="1:8" s="12" customFormat="1" ht="14.25" x14ac:dyDescent="0.2">
      <c r="A26" s="600" t="s">
        <v>92</v>
      </c>
      <c r="B26" s="600"/>
      <c r="C26" s="600"/>
      <c r="D26" s="600"/>
    </row>
    <row r="27" spans="1:8" s="22" customFormat="1" ht="42.75" x14ac:dyDescent="0.25">
      <c r="A27" s="291" t="s">
        <v>23</v>
      </c>
      <c r="B27" s="291" t="s">
        <v>68</v>
      </c>
      <c r="C27" s="291" t="s">
        <v>103</v>
      </c>
      <c r="D27" s="291" t="s">
        <v>70</v>
      </c>
      <c r="E27" s="49"/>
    </row>
    <row r="28" spans="1:8" s="12" customFormat="1" ht="45" x14ac:dyDescent="0.2">
      <c r="A28" s="18">
        <v>1</v>
      </c>
      <c r="B28" s="419" t="s">
        <v>236</v>
      </c>
      <c r="C28" s="18">
        <v>3.93</v>
      </c>
      <c r="D28" s="289"/>
    </row>
    <row r="29" spans="1:8" s="12" customFormat="1" ht="45" x14ac:dyDescent="0.2">
      <c r="A29" s="18">
        <v>2</v>
      </c>
      <c r="B29" s="419" t="s">
        <v>237</v>
      </c>
      <c r="C29" s="18">
        <v>3.5049999999999999</v>
      </c>
      <c r="D29" s="289"/>
    </row>
    <row r="30" spans="1:8" ht="15" customHeight="1" x14ac:dyDescent="0.25">
      <c r="A30" s="601" t="s">
        <v>93</v>
      </c>
      <c r="B30" s="602"/>
      <c r="C30" s="603"/>
      <c r="D30" s="400">
        <f>ROUND(D21*C28,0)</f>
        <v>540171</v>
      </c>
      <c r="E30" s="14"/>
      <c r="F30" s="15"/>
      <c r="G30" s="16"/>
    </row>
    <row r="31" spans="1:8" ht="15" customHeight="1" x14ac:dyDescent="0.25">
      <c r="A31" s="601" t="s">
        <v>123</v>
      </c>
      <c r="B31" s="602"/>
      <c r="C31" s="603"/>
      <c r="D31" s="400">
        <f>ROUND(D19*C29,0)</f>
        <v>1174568</v>
      </c>
      <c r="E31" s="14"/>
      <c r="F31" s="15"/>
      <c r="G31" s="16"/>
    </row>
    <row r="32" spans="1:8" s="12" customFormat="1" hidden="1" x14ac:dyDescent="0.2">
      <c r="A32" s="604" t="s">
        <v>91</v>
      </c>
      <c r="B32" s="604"/>
      <c r="C32" s="604"/>
      <c r="D32" s="401">
        <f>D22*C29</f>
        <v>469827.13616000005</v>
      </c>
    </row>
    <row r="33" spans="1:8" s="12" customFormat="1" hidden="1" x14ac:dyDescent="0.2">
      <c r="A33" s="604" t="s">
        <v>89</v>
      </c>
      <c r="B33" s="604"/>
      <c r="C33" s="604"/>
      <c r="D33" s="401">
        <f>D23*C29</f>
        <v>704740.70423999999</v>
      </c>
    </row>
    <row r="34" spans="1:8" s="12" customFormat="1" x14ac:dyDescent="0.2">
      <c r="A34" s="290"/>
      <c r="B34" s="594" t="s">
        <v>309</v>
      </c>
      <c r="C34" s="594"/>
      <c r="D34" s="402">
        <f>ROUND(D30+D31,2)</f>
        <v>1714739</v>
      </c>
    </row>
    <row r="35" spans="1:8" s="12" customFormat="1" x14ac:dyDescent="0.2">
      <c r="A35" s="290"/>
      <c r="B35" s="594" t="s">
        <v>1</v>
      </c>
      <c r="C35" s="594"/>
      <c r="D35" s="19">
        <f>ROUND(D34*18%,2)</f>
        <v>308653.02</v>
      </c>
    </row>
    <row r="36" spans="1:8" s="12" customFormat="1" x14ac:dyDescent="0.2">
      <c r="A36" s="290"/>
      <c r="B36" s="594" t="s">
        <v>310</v>
      </c>
      <c r="C36" s="594"/>
      <c r="D36" s="19">
        <f>ROUND(D34+D35,2)</f>
        <v>2023392.02</v>
      </c>
    </row>
    <row r="37" spans="1:8" s="5" customFormat="1" x14ac:dyDescent="0.2">
      <c r="D37" s="6"/>
      <c r="E37" s="7"/>
      <c r="G37" s="9"/>
      <c r="H37" s="8"/>
    </row>
    <row r="38" spans="1:8" s="22" customFormat="1" x14ac:dyDescent="0.2">
      <c r="A38" s="33"/>
      <c r="B38" s="50"/>
      <c r="C38" s="51"/>
      <c r="D38" s="52"/>
      <c r="E38" s="32"/>
    </row>
    <row r="39" spans="1:8" s="1" customFormat="1" x14ac:dyDescent="0.2">
      <c r="A39" s="33"/>
      <c r="B39" s="27"/>
      <c r="C39" s="33"/>
      <c r="D39" s="28"/>
      <c r="E39" s="10"/>
      <c r="G39" s="53"/>
    </row>
    <row r="40" spans="1:8" s="55" customFormat="1" x14ac:dyDescent="0.25">
      <c r="A40" s="33"/>
      <c r="B40" s="10"/>
      <c r="C40" s="33"/>
      <c r="D40" s="10"/>
      <c r="E40" s="11"/>
      <c r="F40" s="54"/>
    </row>
    <row r="41" spans="1:8" s="33" customFormat="1" x14ac:dyDescent="0.2">
      <c r="A41" s="1"/>
      <c r="B41" s="56"/>
      <c r="C41" s="1"/>
      <c r="D41" s="56"/>
      <c r="E41" s="57"/>
    </row>
    <row r="42" spans="1:8" s="33" customFormat="1" x14ac:dyDescent="0.2">
      <c r="A42" s="1"/>
      <c r="B42" s="58"/>
      <c r="C42" s="58"/>
      <c r="D42" s="59"/>
      <c r="E42" s="60"/>
    </row>
    <row r="43" spans="1:8" s="33" customFormat="1" x14ac:dyDescent="0.2">
      <c r="A43" s="1"/>
      <c r="B43" s="58"/>
      <c r="C43" s="58"/>
      <c r="D43" s="26"/>
      <c r="E43" s="60"/>
    </row>
    <row r="44" spans="1:8" s="33" customFormat="1" x14ac:dyDescent="0.2">
      <c r="A44" s="1"/>
      <c r="B44" s="58"/>
      <c r="C44" s="58"/>
      <c r="D44" s="26"/>
      <c r="E44" s="61"/>
    </row>
    <row r="45" spans="1:8" s="33" customFormat="1" x14ac:dyDescent="0.2">
      <c r="A45" s="1"/>
      <c r="B45" s="58"/>
      <c r="C45" s="58"/>
      <c r="D45" s="26"/>
      <c r="E45" s="60"/>
    </row>
    <row r="46" spans="1:8" x14ac:dyDescent="0.25">
      <c r="A46" s="33"/>
      <c r="B46" s="50"/>
      <c r="C46" s="51"/>
      <c r="D46" s="52"/>
      <c r="E46" s="32"/>
    </row>
    <row r="47" spans="1:8" x14ac:dyDescent="0.25">
      <c r="A47" s="33"/>
      <c r="B47" s="50"/>
      <c r="C47" s="51"/>
      <c r="D47" s="52"/>
      <c r="E47" s="32"/>
    </row>
    <row r="48" spans="1:8" x14ac:dyDescent="0.25">
      <c r="A48" s="33"/>
      <c r="B48" s="33"/>
      <c r="C48" s="62"/>
      <c r="D48" s="63"/>
      <c r="E48" s="32"/>
    </row>
    <row r="49" spans="1:4" x14ac:dyDescent="0.25">
      <c r="A49" s="2"/>
      <c r="D49" s="4"/>
    </row>
  </sheetData>
  <mergeCells count="19">
    <mergeCell ref="G14:J14"/>
    <mergeCell ref="B20:C20"/>
    <mergeCell ref="B35:C35"/>
    <mergeCell ref="B36:C36"/>
    <mergeCell ref="A26:D26"/>
    <mergeCell ref="A30:C30"/>
    <mergeCell ref="A32:C32"/>
    <mergeCell ref="A33:C33"/>
    <mergeCell ref="A31:C31"/>
    <mergeCell ref="A21:C21"/>
    <mergeCell ref="A22:C22"/>
    <mergeCell ref="A23:C23"/>
    <mergeCell ref="D9:D10"/>
    <mergeCell ref="B34:C34"/>
    <mergeCell ref="A5:D5"/>
    <mergeCell ref="A7:D7"/>
    <mergeCell ref="A9:A10"/>
    <mergeCell ref="B9:B10"/>
    <mergeCell ref="C9:C1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T61"/>
  <sheetViews>
    <sheetView view="pageBreakPreview" topLeftCell="A40" zoomScale="90" zoomScaleNormal="100" zoomScaleSheetLayoutView="90" workbookViewId="0">
      <selection activeCell="G1" sqref="G1:G3"/>
    </sheetView>
  </sheetViews>
  <sheetFormatPr defaultRowHeight="12.75" x14ac:dyDescent="0.2"/>
  <cols>
    <col min="1" max="1" width="3.85546875" style="340" customWidth="1"/>
    <col min="2" max="2" width="20.85546875" style="340" customWidth="1"/>
    <col min="3" max="3" width="12" style="75" customWidth="1"/>
    <col min="4" max="4" width="11.28515625" style="341" bestFit="1" customWidth="1"/>
    <col min="5" max="5" width="27.7109375" style="340" customWidth="1"/>
    <col min="6" max="6" width="7.28515625" style="342" customWidth="1"/>
    <col min="7" max="7" width="35.42578125" style="340" customWidth="1"/>
    <col min="8" max="8" width="12.85546875" style="343" customWidth="1"/>
    <col min="9" max="9" width="15" style="304" customWidth="1"/>
    <col min="10" max="10" width="6.42578125" style="344" customWidth="1"/>
    <col min="11" max="14" width="15" style="344" customWidth="1"/>
    <col min="15" max="16384" width="9.140625" style="340"/>
  </cols>
  <sheetData>
    <row r="1" spans="1:14" x14ac:dyDescent="0.2">
      <c r="C1" s="66"/>
      <c r="G1" s="69"/>
      <c r="H1" s="328"/>
    </row>
    <row r="2" spans="1:14" x14ac:dyDescent="0.2">
      <c r="C2" s="66"/>
      <c r="G2" s="69"/>
      <c r="H2" s="329"/>
    </row>
    <row r="3" spans="1:14" x14ac:dyDescent="0.2">
      <c r="C3" s="66"/>
      <c r="G3" s="338"/>
      <c r="H3" s="329"/>
    </row>
    <row r="4" spans="1:14" s="74" customFormat="1" ht="6.75" customHeight="1" x14ac:dyDescent="0.2">
      <c r="A4" s="72"/>
      <c r="B4" s="72"/>
      <c r="C4" s="73"/>
      <c r="D4" s="72"/>
      <c r="E4" s="72"/>
      <c r="F4" s="72"/>
      <c r="G4" s="72"/>
      <c r="H4" s="330"/>
      <c r="I4" s="305"/>
    </row>
    <row r="5" spans="1:14" ht="17.25" hidden="1" customHeight="1" x14ac:dyDescent="0.2">
      <c r="D5" s="76"/>
      <c r="F5" s="77"/>
      <c r="G5" s="347"/>
    </row>
    <row r="6" spans="1:14" ht="16.5" customHeight="1" x14ac:dyDescent="0.2">
      <c r="A6" s="619" t="s">
        <v>77</v>
      </c>
      <c r="B6" s="619"/>
      <c r="C6" s="619"/>
      <c r="D6" s="619"/>
      <c r="E6" s="619"/>
      <c r="F6" s="619"/>
      <c r="G6" s="619"/>
      <c r="H6" s="619"/>
    </row>
    <row r="7" spans="1:14" ht="16.5" customHeight="1" x14ac:dyDescent="0.2">
      <c r="A7" s="350"/>
      <c r="B7" s="350"/>
      <c r="C7" s="350"/>
      <c r="D7" s="350"/>
      <c r="E7" s="350"/>
      <c r="F7" s="350"/>
      <c r="G7" s="350"/>
      <c r="H7" s="351"/>
    </row>
    <row r="8" spans="1:14" ht="33.75" customHeight="1" x14ac:dyDescent="0.2">
      <c r="A8" s="620" t="str">
        <f>' ССР'!A7:D7</f>
        <v>на разработку проектной документации и рабочей документации на прокладку разводящей тепловой сети ПАО "МОЭК", расположенной по адресу: г. Москва, ул. Дмитрия Ульянова, д.43, корп.3, стр.1</v>
      </c>
      <c r="B8" s="620"/>
      <c r="C8" s="620"/>
      <c r="D8" s="620"/>
      <c r="E8" s="620"/>
      <c r="F8" s="620"/>
      <c r="G8" s="620"/>
      <c r="H8" s="620"/>
    </row>
    <row r="9" spans="1:14" ht="12" customHeight="1" x14ac:dyDescent="0.2">
      <c r="A9" s="623"/>
      <c r="B9" s="623"/>
      <c r="C9" s="623"/>
      <c r="D9" s="623"/>
      <c r="E9" s="623"/>
      <c r="F9" s="623"/>
      <c r="G9" s="623"/>
      <c r="H9" s="623"/>
    </row>
    <row r="10" spans="1:14" x14ac:dyDescent="0.2">
      <c r="A10" s="623" t="s">
        <v>97</v>
      </c>
      <c r="B10" s="623"/>
      <c r="C10" s="623"/>
      <c r="D10" s="623"/>
      <c r="E10" s="623"/>
      <c r="F10" s="623"/>
      <c r="G10" s="623"/>
      <c r="H10" s="623"/>
    </row>
    <row r="11" spans="1:14" x14ac:dyDescent="0.2">
      <c r="A11" s="609" t="s">
        <v>133</v>
      </c>
      <c r="B11" s="609"/>
      <c r="C11" s="609"/>
      <c r="D11" s="609"/>
      <c r="E11" s="609"/>
      <c r="F11" s="609"/>
      <c r="G11" s="609"/>
      <c r="H11" s="609"/>
    </row>
    <row r="12" spans="1:14" ht="18" customHeight="1" x14ac:dyDescent="0.2">
      <c r="A12" s="609" t="s">
        <v>134</v>
      </c>
      <c r="B12" s="609"/>
      <c r="C12" s="609"/>
      <c r="D12" s="609"/>
      <c r="E12" s="609"/>
      <c r="F12" s="609"/>
      <c r="G12" s="609"/>
      <c r="H12" s="609"/>
    </row>
    <row r="13" spans="1:14" ht="9.75" customHeight="1" thickBot="1" x14ac:dyDescent="0.25">
      <c r="B13" s="79"/>
      <c r="D13" s="340"/>
      <c r="I13" s="306"/>
      <c r="J13" s="80"/>
      <c r="K13" s="80"/>
      <c r="L13" s="80"/>
      <c r="M13" s="80"/>
      <c r="N13" s="80"/>
    </row>
    <row r="14" spans="1:14" ht="39" customHeight="1" thickBot="1" x14ac:dyDescent="0.25">
      <c r="A14" s="81" t="s">
        <v>23</v>
      </c>
      <c r="B14" s="621" t="s">
        <v>3</v>
      </c>
      <c r="C14" s="622"/>
      <c r="D14" s="82" t="s">
        <v>9</v>
      </c>
      <c r="E14" s="83" t="s">
        <v>4</v>
      </c>
      <c r="F14" s="84" t="s">
        <v>5</v>
      </c>
      <c r="G14" s="414" t="s">
        <v>0</v>
      </c>
      <c r="H14" s="82" t="s">
        <v>6</v>
      </c>
    </row>
    <row r="15" spans="1:14" ht="16.5" customHeight="1" thickBot="1" x14ac:dyDescent="0.25">
      <c r="A15" s="621" t="s">
        <v>101</v>
      </c>
      <c r="B15" s="624"/>
      <c r="C15" s="624"/>
      <c r="D15" s="624"/>
      <c r="E15" s="624"/>
      <c r="F15" s="624"/>
      <c r="G15" s="624"/>
      <c r="H15" s="622"/>
    </row>
    <row r="16" spans="1:14" ht="25.5" x14ac:dyDescent="0.2">
      <c r="A16" s="648">
        <v>1</v>
      </c>
      <c r="B16" s="373" t="s">
        <v>224</v>
      </c>
      <c r="C16" s="427">
        <f>C21+C22</f>
        <v>50</v>
      </c>
      <c r="D16" s="406">
        <f>ROUND(C18+C16*C19,0)</f>
        <v>25200</v>
      </c>
      <c r="E16" s="242"/>
      <c r="F16" s="403"/>
      <c r="G16" s="343"/>
      <c r="H16" s="334"/>
    </row>
    <row r="17" spans="1:11" x14ac:dyDescent="0.2">
      <c r="A17" s="649"/>
      <c r="B17" s="89" t="s">
        <v>225</v>
      </c>
      <c r="C17" s="243"/>
      <c r="D17" s="420"/>
      <c r="E17" s="421"/>
      <c r="F17" s="403"/>
      <c r="G17" s="428"/>
      <c r="H17" s="334"/>
    </row>
    <row r="18" spans="1:11" ht="43.5" customHeight="1" x14ac:dyDescent="0.2">
      <c r="A18" s="649"/>
      <c r="B18" s="373" t="s">
        <v>213</v>
      </c>
      <c r="C18" s="422">
        <v>25200</v>
      </c>
      <c r="D18" s="420"/>
      <c r="E18" s="423" t="s">
        <v>226</v>
      </c>
      <c r="F18" s="403">
        <v>0.05</v>
      </c>
      <c r="G18" s="244"/>
      <c r="H18" s="382">
        <v>6200</v>
      </c>
    </row>
    <row r="19" spans="1:11" ht="40.5" customHeight="1" x14ac:dyDescent="0.2">
      <c r="A19" s="649"/>
      <c r="B19" s="93" t="s">
        <v>12</v>
      </c>
      <c r="C19" s="424">
        <v>0</v>
      </c>
      <c r="D19" s="420"/>
      <c r="E19" s="425" t="s">
        <v>216</v>
      </c>
      <c r="F19" s="415">
        <v>0.35</v>
      </c>
      <c r="H19" s="429"/>
    </row>
    <row r="20" spans="1:11" ht="40.5" customHeight="1" x14ac:dyDescent="0.2">
      <c r="A20" s="649"/>
      <c r="B20" s="93"/>
      <c r="C20" s="422"/>
      <c r="D20" s="420"/>
      <c r="E20" s="425" t="s">
        <v>228</v>
      </c>
      <c r="F20" s="415">
        <v>0.8</v>
      </c>
      <c r="H20" s="429"/>
    </row>
    <row r="21" spans="1:11" ht="39" customHeight="1" x14ac:dyDescent="0.2">
      <c r="A21" s="649"/>
      <c r="B21" s="93" t="s">
        <v>230</v>
      </c>
      <c r="C21" s="430">
        <v>19</v>
      </c>
      <c r="D21" s="420"/>
      <c r="E21" s="431" t="s">
        <v>227</v>
      </c>
      <c r="F21" s="415"/>
      <c r="G21" s="416" t="str">
        <f>CONCATENATE("(",D16,"+",D16,"*",F19,")","*",F18,"*",C21,"/",C16)</f>
        <v>(25200+25200*0,35)*0,05*19/50</v>
      </c>
      <c r="H21" s="429"/>
      <c r="I21" s="304">
        <f>(D16+D16*F19)*F18*C21/C16</f>
        <v>646.38</v>
      </c>
      <c r="K21" s="344">
        <f>I21+I22</f>
        <v>1490.076</v>
      </c>
    </row>
    <row r="22" spans="1:11" ht="15.75" customHeight="1" x14ac:dyDescent="0.2">
      <c r="A22" s="649"/>
      <c r="B22" s="93" t="s">
        <v>229</v>
      </c>
      <c r="C22" s="430">
        <v>31</v>
      </c>
      <c r="D22" s="420"/>
      <c r="E22" s="431"/>
      <c r="F22" s="415"/>
      <c r="G22" s="435" t="str">
        <f>CONCATENATE("(",D16,"+",D16,"*",F19,")","*",F20,"*",F18,"*",C22,"/",C16)</f>
        <v>(25200+25200*0,35)*0,8*0,05*31/50</v>
      </c>
      <c r="H22" s="429"/>
      <c r="I22" s="304">
        <f>(D16+D16*F19)*F20*F18*C22/C16</f>
        <v>843.69600000000003</v>
      </c>
    </row>
    <row r="23" spans="1:11" x14ac:dyDescent="0.2">
      <c r="A23" s="625">
        <v>2</v>
      </c>
      <c r="B23" s="445" t="s">
        <v>232</v>
      </c>
      <c r="C23" s="440">
        <f>C27+C28+C29</f>
        <v>216</v>
      </c>
      <c r="D23" s="449">
        <f>ROUND(C25+C23*C26,2)</f>
        <v>67008</v>
      </c>
      <c r="E23" s="441"/>
      <c r="F23" s="451"/>
      <c r="G23" s="447"/>
      <c r="H23" s="447"/>
    </row>
    <row r="24" spans="1:11" ht="25.5" x14ac:dyDescent="0.2">
      <c r="A24" s="626"/>
      <c r="B24" s="89" t="s">
        <v>223</v>
      </c>
      <c r="C24" s="438"/>
      <c r="D24" s="420"/>
      <c r="E24" s="423" t="s">
        <v>215</v>
      </c>
      <c r="F24" s="403">
        <v>1.1000000000000001</v>
      </c>
      <c r="G24" s="374"/>
      <c r="H24" s="381"/>
    </row>
    <row r="25" spans="1:11" ht="42.75" customHeight="1" x14ac:dyDescent="0.2">
      <c r="A25" s="626"/>
      <c r="B25" s="373" t="s">
        <v>213</v>
      </c>
      <c r="C25" s="439">
        <v>21000</v>
      </c>
      <c r="D25" s="420"/>
      <c r="E25" s="425" t="s">
        <v>216</v>
      </c>
      <c r="F25" s="415">
        <v>0.35</v>
      </c>
      <c r="G25" s="375"/>
      <c r="H25" s="403"/>
    </row>
    <row r="26" spans="1:11" ht="25.5" x14ac:dyDescent="0.2">
      <c r="A26" s="626"/>
      <c r="B26" s="433" t="s">
        <v>12</v>
      </c>
      <c r="C26" s="439">
        <v>213</v>
      </c>
      <c r="D26" s="420"/>
      <c r="E26" s="423" t="s">
        <v>221</v>
      </c>
      <c r="F26" s="403">
        <v>1.75</v>
      </c>
      <c r="G26" s="426"/>
      <c r="H26" s="429"/>
    </row>
    <row r="27" spans="1:11" ht="25.5" x14ac:dyDescent="0.2">
      <c r="A27" s="432"/>
      <c r="B27" s="93" t="s">
        <v>231</v>
      </c>
      <c r="C27" s="434">
        <v>120</v>
      </c>
      <c r="D27" s="420"/>
      <c r="E27" s="421" t="s">
        <v>235</v>
      </c>
      <c r="F27" s="403">
        <v>0.6</v>
      </c>
      <c r="G27" s="374" t="str">
        <f>CONCATENATE("(",D23,"*",F26,"+",D23,"*",F25,")","*",F24,"*",C27,"/",C23)</f>
        <v>(67008*1,75+67008*0,35)*1,1*120/216</v>
      </c>
      <c r="H27" s="381">
        <f>ROUND((D23*F26+D23*F25)*F24*C27/C23,0)</f>
        <v>85994</v>
      </c>
    </row>
    <row r="28" spans="1:11" ht="25.5" x14ac:dyDescent="0.2">
      <c r="A28" s="432"/>
      <c r="B28" s="93" t="s">
        <v>233</v>
      </c>
      <c r="C28" s="427">
        <v>44</v>
      </c>
      <c r="D28" s="420"/>
      <c r="E28" s="423"/>
      <c r="F28" s="403"/>
      <c r="G28" s="374" t="str">
        <f>CONCATENATE("(",D23,"*",F26,"+",D23,"*",F25,")","*",F27,"*",C28,"/",C23)</f>
        <v>(67008*1,75+67008*0,35)*0,6*44/216</v>
      </c>
      <c r="H28" s="381">
        <f>ROUND((D23*F26+D23*F25)*F27*C28/C23,0)</f>
        <v>17199</v>
      </c>
    </row>
    <row r="29" spans="1:11" ht="29.25" customHeight="1" x14ac:dyDescent="0.2">
      <c r="A29" s="442"/>
      <c r="B29" s="446" t="s">
        <v>234</v>
      </c>
      <c r="C29" s="443">
        <v>52</v>
      </c>
      <c r="D29" s="450"/>
      <c r="E29" s="444"/>
      <c r="F29" s="404"/>
      <c r="G29" s="448" t="str">
        <f>CONCATENATE(,D23,"*",F26,"*",F27,"*",C29,"/",C23)</f>
        <v>67008*1,75*0,6*52/216</v>
      </c>
      <c r="H29" s="452">
        <f>ROUND(D23*F26*F27*C29/C23,0)</f>
        <v>16938</v>
      </c>
    </row>
    <row r="30" spans="1:11" s="359" customFormat="1" ht="55.5" customHeight="1" x14ac:dyDescent="0.2">
      <c r="A30" s="627">
        <v>3</v>
      </c>
      <c r="B30" s="354" t="s">
        <v>218</v>
      </c>
      <c r="C30" s="436"/>
      <c r="D30" s="406">
        <f>ROUND(C31+C30*C32,2)</f>
        <v>21000</v>
      </c>
      <c r="E30" s="437"/>
      <c r="F30" s="403"/>
      <c r="G30" s="407">
        <f>ROUND(D30,2)</f>
        <v>21000</v>
      </c>
      <c r="H30" s="418">
        <f>ROUND(D30,0)</f>
        <v>21000</v>
      </c>
    </row>
    <row r="31" spans="1:11" s="359" customFormat="1" ht="15" customHeight="1" x14ac:dyDescent="0.2">
      <c r="A31" s="627"/>
      <c r="B31" s="362" t="s">
        <v>217</v>
      </c>
      <c r="C31" s="363">
        <v>21000</v>
      </c>
      <c r="D31" s="364"/>
      <c r="E31" s="363"/>
      <c r="F31" s="415"/>
      <c r="G31" s="360"/>
      <c r="H31" s="361"/>
    </row>
    <row r="32" spans="1:11" s="359" customFormat="1" ht="15.75" customHeight="1" thickBot="1" x14ac:dyDescent="0.25">
      <c r="A32" s="628"/>
      <c r="B32" s="408" t="s">
        <v>12</v>
      </c>
      <c r="C32" s="405">
        <v>0</v>
      </c>
      <c r="D32" s="409"/>
      <c r="E32" s="410"/>
      <c r="F32" s="411"/>
      <c r="G32" s="411"/>
      <c r="H32" s="417"/>
    </row>
    <row r="33" spans="1:20" s="335" customFormat="1" ht="42" customHeight="1" x14ac:dyDescent="0.2">
      <c r="A33" s="627">
        <v>4</v>
      </c>
      <c r="B33" s="354" t="s">
        <v>219</v>
      </c>
      <c r="C33" s="365"/>
      <c r="D33" s="406">
        <f>ROUND(C34+C33*C35,2)</f>
        <v>17900</v>
      </c>
      <c r="E33" s="366"/>
      <c r="F33" s="366"/>
      <c r="G33" s="407">
        <f>ROUND(D33,2)</f>
        <v>17900</v>
      </c>
      <c r="H33" s="418">
        <f>ROUND(D33,0)</f>
        <v>17900</v>
      </c>
      <c r="N33" s="353"/>
      <c r="O33" s="355"/>
      <c r="P33" s="345"/>
      <c r="Q33" s="140"/>
      <c r="R33" s="336"/>
      <c r="S33" s="356"/>
      <c r="T33" s="357"/>
    </row>
    <row r="34" spans="1:20" s="335" customFormat="1" ht="25.5" customHeight="1" x14ac:dyDescent="0.2">
      <c r="A34" s="627"/>
      <c r="B34" s="368" t="s">
        <v>220</v>
      </c>
      <c r="C34" s="363">
        <v>17900</v>
      </c>
      <c r="D34" s="366"/>
      <c r="E34" s="366"/>
      <c r="F34" s="366"/>
      <c r="G34" s="367"/>
      <c r="H34" s="361"/>
      <c r="N34" s="353"/>
      <c r="O34" s="355"/>
      <c r="P34" s="345"/>
      <c r="Q34" s="140"/>
      <c r="R34" s="336"/>
      <c r="S34" s="356"/>
      <c r="T34" s="357"/>
    </row>
    <row r="35" spans="1:20" s="335" customFormat="1" ht="17.25" customHeight="1" thickBot="1" x14ac:dyDescent="0.25">
      <c r="A35" s="628"/>
      <c r="B35" s="358" t="s">
        <v>12</v>
      </c>
      <c r="C35" s="369">
        <v>0</v>
      </c>
      <c r="D35" s="370"/>
      <c r="E35" s="370"/>
      <c r="F35" s="370"/>
      <c r="G35" s="371"/>
      <c r="H35" s="372"/>
      <c r="N35" s="353"/>
      <c r="O35" s="355"/>
      <c r="P35" s="345"/>
      <c r="Q35" s="140"/>
      <c r="R35" s="336"/>
      <c r="S35" s="356"/>
      <c r="T35" s="357"/>
    </row>
    <row r="36" spans="1:20" ht="13.5" thickBot="1" x14ac:dyDescent="0.25">
      <c r="A36" s="352"/>
      <c r="B36" s="642" t="s">
        <v>87</v>
      </c>
      <c r="C36" s="643"/>
      <c r="D36" s="643"/>
      <c r="E36" s="643"/>
      <c r="F36" s="643"/>
      <c r="G36" s="644"/>
      <c r="H36" s="376">
        <f>SUM(H23:H35)</f>
        <v>159031</v>
      </c>
    </row>
    <row r="37" spans="1:20" ht="26.25" thickBot="1" x14ac:dyDescent="0.25">
      <c r="A37" s="85"/>
      <c r="B37" s="641" t="s">
        <v>102</v>
      </c>
      <c r="C37" s="641"/>
      <c r="D37" s="641"/>
      <c r="E37" s="86" t="s">
        <v>126</v>
      </c>
      <c r="F37" s="87">
        <v>1.02</v>
      </c>
      <c r="G37" s="88" t="str">
        <f>CONCATENATE(H36," * ",F37)</f>
        <v>159031 * 1,02</v>
      </c>
      <c r="H37" s="377">
        <f>ROUND(H36*F37,0)</f>
        <v>162212</v>
      </c>
    </row>
    <row r="38" spans="1:20" ht="13.5" thickBot="1" x14ac:dyDescent="0.25">
      <c r="A38" s="645" t="s">
        <v>13</v>
      </c>
      <c r="B38" s="646"/>
      <c r="C38" s="646"/>
      <c r="D38" s="646"/>
      <c r="E38" s="646"/>
      <c r="F38" s="646"/>
      <c r="G38" s="646"/>
      <c r="H38" s="647"/>
    </row>
    <row r="39" spans="1:20" ht="21.75" customHeight="1" x14ac:dyDescent="0.2">
      <c r="A39" s="611" t="s">
        <v>2</v>
      </c>
      <c r="B39" s="612"/>
      <c r="C39" s="612"/>
      <c r="D39" s="612"/>
      <c r="E39" s="612"/>
      <c r="F39" s="612"/>
      <c r="G39" s="612"/>
      <c r="H39" s="613"/>
      <c r="J39" s="607" t="s">
        <v>156</v>
      </c>
      <c r="K39" s="607" t="s">
        <v>157</v>
      </c>
      <c r="L39" s="607" t="s">
        <v>158</v>
      </c>
      <c r="M39" s="607" t="s">
        <v>159</v>
      </c>
      <c r="N39" s="607"/>
    </row>
    <row r="40" spans="1:20" ht="13.5" thickBot="1" x14ac:dyDescent="0.25">
      <c r="A40" s="608" t="s">
        <v>125</v>
      </c>
      <c r="B40" s="609"/>
      <c r="C40" s="609"/>
      <c r="D40" s="609"/>
      <c r="E40" s="609"/>
      <c r="F40" s="609"/>
      <c r="G40" s="609"/>
      <c r="H40" s="610"/>
      <c r="J40" s="607"/>
      <c r="K40" s="607"/>
      <c r="L40" s="607"/>
      <c r="M40" s="349" t="s">
        <v>160</v>
      </c>
      <c r="N40" s="349" t="s">
        <v>161</v>
      </c>
    </row>
    <row r="41" spans="1:20" ht="26.25" customHeight="1" thickBot="1" x14ac:dyDescent="0.25">
      <c r="A41" s="83" t="s">
        <v>17</v>
      </c>
      <c r="B41" s="621" t="s">
        <v>3</v>
      </c>
      <c r="C41" s="622"/>
      <c r="D41" s="82" t="s">
        <v>9</v>
      </c>
      <c r="E41" s="83" t="s">
        <v>4</v>
      </c>
      <c r="F41" s="84" t="s">
        <v>5</v>
      </c>
      <c r="G41" s="414" t="s">
        <v>0</v>
      </c>
      <c r="H41" s="82" t="s">
        <v>6</v>
      </c>
      <c r="J41" s="615">
        <v>1</v>
      </c>
      <c r="K41" s="615" t="s">
        <v>162</v>
      </c>
      <c r="L41" s="348" t="s">
        <v>163</v>
      </c>
      <c r="M41" s="348">
        <v>54</v>
      </c>
      <c r="N41" s="348" t="s">
        <v>164</v>
      </c>
    </row>
    <row r="42" spans="1:20" ht="25.5" x14ac:dyDescent="0.2">
      <c r="A42" s="634">
        <v>1</v>
      </c>
      <c r="B42" s="89" t="s">
        <v>127</v>
      </c>
      <c r="C42" s="413">
        <f>C50</f>
        <v>0.12</v>
      </c>
      <c r="D42" s="381">
        <f>ROUND(C43+C44*C42,2)</f>
        <v>54000</v>
      </c>
      <c r="E42" s="90"/>
      <c r="F42" s="91"/>
      <c r="G42" s="382">
        <f>ROUND(D42,2)</f>
        <v>54000</v>
      </c>
      <c r="H42" s="383">
        <f>ROUND(G42,2)</f>
        <v>54000</v>
      </c>
      <c r="J42" s="615"/>
      <c r="K42" s="615"/>
      <c r="L42" s="348" t="s">
        <v>165</v>
      </c>
      <c r="M42" s="348">
        <v>7</v>
      </c>
      <c r="N42" s="348">
        <v>94</v>
      </c>
    </row>
    <row r="43" spans="1:20" x14ac:dyDescent="0.2">
      <c r="A43" s="634"/>
      <c r="B43" s="93" t="s">
        <v>7</v>
      </c>
      <c r="C43" s="380">
        <v>54000</v>
      </c>
      <c r="D43" s="334"/>
      <c r="E43" s="90"/>
      <c r="F43" s="91"/>
      <c r="G43" s="95"/>
      <c r="H43" s="92"/>
      <c r="J43" s="615"/>
      <c r="K43" s="615"/>
      <c r="L43" s="348" t="s">
        <v>166</v>
      </c>
      <c r="M43" s="348">
        <v>12.5</v>
      </c>
      <c r="N43" s="348">
        <v>88.5</v>
      </c>
    </row>
    <row r="44" spans="1:20" ht="13.5" thickBot="1" x14ac:dyDescent="0.25">
      <c r="A44" s="634"/>
      <c r="B44" s="93" t="s">
        <v>8</v>
      </c>
      <c r="C44" s="94"/>
      <c r="D44" s="334"/>
      <c r="E44" s="90"/>
      <c r="F44" s="91"/>
      <c r="G44" s="96"/>
      <c r="H44" s="64"/>
      <c r="I44" s="307"/>
      <c r="J44" s="615"/>
      <c r="K44" s="615"/>
      <c r="L44" s="348" t="s">
        <v>167</v>
      </c>
      <c r="M44" s="348">
        <v>100</v>
      </c>
      <c r="N44" s="348">
        <v>71</v>
      </c>
    </row>
    <row r="45" spans="1:20" ht="13.5" thickBot="1" x14ac:dyDescent="0.25">
      <c r="A45" s="97"/>
      <c r="B45" s="98" t="s">
        <v>18</v>
      </c>
      <c r="C45" s="99"/>
      <c r="D45" s="100"/>
      <c r="E45" s="101"/>
      <c r="F45" s="102"/>
      <c r="G45" s="103"/>
      <c r="H45" s="377">
        <f>H42</f>
        <v>54000</v>
      </c>
      <c r="I45" s="307"/>
      <c r="J45" s="615"/>
      <c r="K45" s="615"/>
      <c r="L45" s="348" t="s">
        <v>168</v>
      </c>
      <c r="M45" s="348">
        <v>234</v>
      </c>
      <c r="N45" s="348">
        <v>57.6</v>
      </c>
    </row>
    <row r="46" spans="1:20" ht="13.5" thickBot="1" x14ac:dyDescent="0.25">
      <c r="A46" s="635" t="s">
        <v>10</v>
      </c>
      <c r="B46" s="636"/>
      <c r="C46" s="636"/>
      <c r="D46" s="636"/>
      <c r="E46" s="636"/>
      <c r="F46" s="636"/>
      <c r="G46" s="636"/>
      <c r="H46" s="637"/>
      <c r="I46" s="307"/>
      <c r="J46" s="615"/>
      <c r="K46" s="615"/>
      <c r="L46" s="348" t="s">
        <v>169</v>
      </c>
      <c r="M46" s="348">
        <v>288</v>
      </c>
      <c r="N46" s="348">
        <v>54</v>
      </c>
    </row>
    <row r="47" spans="1:20" ht="31.5" customHeight="1" thickBot="1" x14ac:dyDescent="0.25">
      <c r="A47" s="630" t="s">
        <v>238</v>
      </c>
      <c r="B47" s="631"/>
      <c r="C47" s="631"/>
      <c r="D47" s="631"/>
      <c r="E47" s="631"/>
      <c r="F47" s="631"/>
      <c r="G47" s="631"/>
      <c r="H47" s="632"/>
      <c r="I47" s="307"/>
      <c r="J47" s="615"/>
      <c r="K47" s="615"/>
      <c r="L47" s="348" t="s">
        <v>170</v>
      </c>
      <c r="M47" s="348">
        <v>368</v>
      </c>
      <c r="N47" s="348">
        <v>50</v>
      </c>
    </row>
    <row r="48" spans="1:20" x14ac:dyDescent="0.2">
      <c r="A48" s="105"/>
      <c r="B48" s="106" t="s">
        <v>75</v>
      </c>
      <c r="C48" s="378">
        <f>C27</f>
        <v>120</v>
      </c>
      <c r="D48" s="107" t="s">
        <v>15</v>
      </c>
      <c r="E48" s="108"/>
      <c r="F48" s="108"/>
      <c r="G48" s="108"/>
      <c r="H48" s="311"/>
      <c r="I48" s="307"/>
      <c r="J48" s="615"/>
      <c r="K48" s="615"/>
      <c r="L48" s="348" t="s">
        <v>171</v>
      </c>
      <c r="M48" s="348">
        <v>707</v>
      </c>
      <c r="N48" s="348">
        <v>38.700000000000003</v>
      </c>
    </row>
    <row r="49" spans="1:18" ht="15" customHeight="1" x14ac:dyDescent="0.2">
      <c r="A49" s="109"/>
      <c r="B49" s="110" t="s">
        <v>128</v>
      </c>
      <c r="C49" s="379">
        <f>ROUND(C48*10,2)</f>
        <v>1200</v>
      </c>
      <c r="D49" s="111" t="s">
        <v>129</v>
      </c>
      <c r="E49" s="112"/>
      <c r="F49" s="112"/>
      <c r="G49" s="112"/>
      <c r="H49" s="312"/>
      <c r="I49" s="307"/>
      <c r="J49" s="615"/>
      <c r="K49" s="615"/>
      <c r="L49" s="348" t="s">
        <v>172</v>
      </c>
      <c r="M49" s="348">
        <v>2255</v>
      </c>
      <c r="N49" s="348" t="s">
        <v>164</v>
      </c>
    </row>
    <row r="50" spans="1:18" ht="15.75" customHeight="1" thickBot="1" x14ac:dyDescent="0.25">
      <c r="A50" s="113"/>
      <c r="B50" s="114" t="s">
        <v>128</v>
      </c>
      <c r="C50" s="412">
        <f>ROUND(C49/10000,3)</f>
        <v>0.12</v>
      </c>
      <c r="D50" s="115" t="s">
        <v>16</v>
      </c>
      <c r="E50" s="116"/>
      <c r="F50" s="116"/>
      <c r="G50" s="116"/>
      <c r="H50" s="313"/>
      <c r="I50" s="307"/>
      <c r="J50" s="340"/>
      <c r="K50" s="340"/>
      <c r="L50" s="340"/>
      <c r="M50" s="340"/>
      <c r="N50" s="340"/>
    </row>
    <row r="51" spans="1:18" x14ac:dyDescent="0.2">
      <c r="A51" s="117"/>
      <c r="B51" s="633" t="s">
        <v>105</v>
      </c>
      <c r="C51" s="633"/>
      <c r="D51" s="633"/>
      <c r="E51" s="118"/>
      <c r="F51" s="119"/>
      <c r="G51" s="120" t="s">
        <v>14</v>
      </c>
      <c r="H51" s="331"/>
      <c r="I51" s="307"/>
      <c r="J51" s="340"/>
      <c r="K51" s="340"/>
      <c r="L51" s="340"/>
      <c r="M51" s="340"/>
      <c r="N51" s="340"/>
    </row>
    <row r="52" spans="1:18" s="126" customFormat="1" ht="39" customHeight="1" x14ac:dyDescent="0.2">
      <c r="A52" s="121">
        <v>1</v>
      </c>
      <c r="B52" s="314" t="s">
        <v>204</v>
      </c>
      <c r="C52" s="122"/>
      <c r="D52" s="123">
        <v>2038</v>
      </c>
      <c r="E52" s="453" t="s">
        <v>239</v>
      </c>
      <c r="F52" s="124">
        <v>0.75</v>
      </c>
      <c r="G52" s="125" t="str">
        <f>CONCATENATE(D52," х ",F52)</f>
        <v>2038 х 0,75</v>
      </c>
      <c r="H52" s="332">
        <f>ROUND(D52*F52,2)</f>
        <v>1528.5</v>
      </c>
      <c r="I52" s="308"/>
      <c r="J52" s="616" t="s">
        <v>174</v>
      </c>
      <c r="K52" s="616"/>
      <c r="L52" s="616"/>
      <c r="M52" s="616"/>
      <c r="N52" s="616"/>
    </row>
    <row r="53" spans="1:18" s="126" customFormat="1" ht="39" customHeight="1" x14ac:dyDescent="0.2">
      <c r="A53" s="121">
        <v>2</v>
      </c>
      <c r="B53" s="314" t="s">
        <v>205</v>
      </c>
      <c r="C53" s="122"/>
      <c r="D53" s="123">
        <v>8099</v>
      </c>
      <c r="E53" s="453" t="s">
        <v>239</v>
      </c>
      <c r="F53" s="124">
        <v>0.75</v>
      </c>
      <c r="G53" s="125" t="str">
        <f>CONCATENATE(D53," х ",F53)</f>
        <v>8099 х 0,75</v>
      </c>
      <c r="H53" s="332">
        <f>ROUND(D53*F53,2)</f>
        <v>6074.25</v>
      </c>
      <c r="I53" s="308"/>
      <c r="J53" s="617" t="s">
        <v>173</v>
      </c>
      <c r="K53" s="617"/>
      <c r="L53" s="617"/>
      <c r="M53" s="617"/>
      <c r="N53" s="617"/>
    </row>
    <row r="54" spans="1:18" s="127" customFormat="1" ht="39" customHeight="1" x14ac:dyDescent="0.2">
      <c r="A54" s="121">
        <v>3</v>
      </c>
      <c r="B54" s="314" t="s">
        <v>206</v>
      </c>
      <c r="C54" s="122"/>
      <c r="D54" s="123">
        <v>2038</v>
      </c>
      <c r="E54" s="453" t="s">
        <v>239</v>
      </c>
      <c r="F54" s="124">
        <v>0.75</v>
      </c>
      <c r="G54" s="125" t="str">
        <f>CONCATENATE(D54," х ",F54)</f>
        <v>2038 х 0,75</v>
      </c>
      <c r="H54" s="332">
        <f>ROUND(D54*F54,2)</f>
        <v>1528.5</v>
      </c>
      <c r="I54" s="309"/>
      <c r="J54" s="618" t="s">
        <v>175</v>
      </c>
      <c r="K54" s="618"/>
      <c r="L54" s="618"/>
      <c r="M54" s="618"/>
      <c r="N54" s="618"/>
    </row>
    <row r="55" spans="1:18" s="127" customFormat="1" ht="39" customHeight="1" x14ac:dyDescent="0.2">
      <c r="A55" s="121">
        <v>4</v>
      </c>
      <c r="B55" s="314" t="s">
        <v>207</v>
      </c>
      <c r="C55" s="122"/>
      <c r="D55" s="123">
        <v>2495</v>
      </c>
      <c r="E55" s="453" t="s">
        <v>239</v>
      </c>
      <c r="F55" s="124">
        <v>0.75</v>
      </c>
      <c r="G55" s="125" t="str">
        <f>CONCATENATE(D55," х ",F55)</f>
        <v>2495 х 0,75</v>
      </c>
      <c r="H55" s="332">
        <f>ROUND(D55*F55,2)</f>
        <v>1871.25</v>
      </c>
      <c r="I55" s="309"/>
      <c r="J55" s="618" t="s">
        <v>176</v>
      </c>
      <c r="K55" s="618"/>
      <c r="L55" s="618"/>
      <c r="M55" s="618"/>
      <c r="N55" s="618"/>
    </row>
    <row r="56" spans="1:18" s="127" customFormat="1" ht="39" customHeight="1" thickBot="1" x14ac:dyDescent="0.25">
      <c r="A56" s="128">
        <v>5</v>
      </c>
      <c r="B56" s="315" t="s">
        <v>208</v>
      </c>
      <c r="C56" s="129"/>
      <c r="D56" s="130">
        <v>4074</v>
      </c>
      <c r="E56" s="453" t="s">
        <v>239</v>
      </c>
      <c r="F56" s="124">
        <v>0.75</v>
      </c>
      <c r="G56" s="125" t="str">
        <f>CONCATENATE(D56," х ",F56)</f>
        <v>4074 х 0,75</v>
      </c>
      <c r="H56" s="332">
        <f>ROUND(D56*F56,2)</f>
        <v>3055.5</v>
      </c>
      <c r="I56" s="309"/>
      <c r="J56" s="614" t="s">
        <v>177</v>
      </c>
      <c r="K56" s="614"/>
      <c r="L56" s="614"/>
      <c r="M56" s="614"/>
      <c r="N56" s="614"/>
    </row>
    <row r="57" spans="1:18" s="337" customFormat="1" ht="13.5" thickBot="1" x14ac:dyDescent="0.25">
      <c r="A57" s="131"/>
      <c r="B57" s="638" t="s">
        <v>11</v>
      </c>
      <c r="C57" s="639"/>
      <c r="D57" s="639"/>
      <c r="E57" s="639"/>
      <c r="F57" s="639"/>
      <c r="G57" s="640"/>
      <c r="H57" s="384">
        <f>ROUND(H52+H53+H54+H55+H56,2)</f>
        <v>14058</v>
      </c>
      <c r="I57" s="310"/>
      <c r="J57" s="345"/>
      <c r="K57" s="132"/>
      <c r="L57" s="132"/>
      <c r="M57" s="132"/>
      <c r="N57" s="132"/>
    </row>
    <row r="58" spans="1:18" s="335" customFormat="1" ht="13.5" thickBot="1" x14ac:dyDescent="0.25">
      <c r="A58" s="134"/>
      <c r="B58" s="135" t="s">
        <v>88</v>
      </c>
      <c r="C58" s="136"/>
      <c r="D58" s="137"/>
      <c r="E58" s="137"/>
      <c r="F58" s="137"/>
      <c r="G58" s="137"/>
      <c r="H58" s="377">
        <f>ROUND(H37+H45+H57,2)</f>
        <v>230270</v>
      </c>
      <c r="I58" s="268">
        <f>H36+H45+H57</f>
        <v>227089</v>
      </c>
      <c r="J58" s="269" t="s">
        <v>189</v>
      </c>
      <c r="O58" s="140"/>
      <c r="P58" s="336"/>
      <c r="Q58" s="142"/>
      <c r="R58" s="143"/>
    </row>
    <row r="59" spans="1:18" s="335" customFormat="1" ht="39.75" hidden="1" customHeight="1" thickBot="1" x14ac:dyDescent="0.25">
      <c r="A59" s="85"/>
      <c r="B59" s="629" t="s">
        <v>104</v>
      </c>
      <c r="C59" s="629"/>
      <c r="D59" s="629"/>
      <c r="E59" s="86" t="s">
        <v>130</v>
      </c>
      <c r="F59" s="339">
        <v>1</v>
      </c>
      <c r="G59" s="339" t="str">
        <f>CONCATENATE(H58," х ",F59)</f>
        <v>230270 х 1</v>
      </c>
      <c r="H59" s="104">
        <f>ROUND(H58*F59,2)</f>
        <v>230270</v>
      </c>
      <c r="I59" s="269"/>
      <c r="O59" s="140"/>
      <c r="P59" s="336"/>
      <c r="Q59" s="142"/>
      <c r="R59" s="143"/>
    </row>
    <row r="60" spans="1:18" s="335" customFormat="1" x14ac:dyDescent="0.2">
      <c r="A60" s="145"/>
      <c r="B60" s="146"/>
      <c r="C60" s="147"/>
      <c r="D60" s="146"/>
      <c r="E60" s="80"/>
      <c r="F60" s="148"/>
      <c r="G60" s="342"/>
      <c r="H60" s="149"/>
      <c r="I60" s="269"/>
      <c r="O60" s="140"/>
      <c r="P60" s="336"/>
      <c r="Q60" s="142"/>
      <c r="R60" s="143"/>
    </row>
    <row r="61" spans="1:18" s="335" customFormat="1" x14ac:dyDescent="0.2">
      <c r="A61" s="340"/>
      <c r="B61" s="340"/>
      <c r="C61" s="75"/>
      <c r="D61" s="341"/>
      <c r="E61" s="340"/>
      <c r="F61" s="342"/>
      <c r="G61" s="340"/>
      <c r="H61" s="343"/>
      <c r="I61" s="269"/>
      <c r="O61" s="140"/>
      <c r="P61" s="336"/>
      <c r="Q61" s="142"/>
      <c r="R61" s="143"/>
    </row>
  </sheetData>
  <mergeCells count="35">
    <mergeCell ref="A15:H15"/>
    <mergeCell ref="A23:A26"/>
    <mergeCell ref="A33:A35"/>
    <mergeCell ref="A30:A32"/>
    <mergeCell ref="B59:D59"/>
    <mergeCell ref="A47:H47"/>
    <mergeCell ref="B51:D51"/>
    <mergeCell ref="B41:C41"/>
    <mergeCell ref="A42:A44"/>
    <mergeCell ref="A46:H46"/>
    <mergeCell ref="B57:G57"/>
    <mergeCell ref="B37:D37"/>
    <mergeCell ref="B36:G36"/>
    <mergeCell ref="A38:H38"/>
    <mergeCell ref="A16:A22"/>
    <mergeCell ref="A6:H6"/>
    <mergeCell ref="A8:H8"/>
    <mergeCell ref="A11:H11"/>
    <mergeCell ref="A12:H12"/>
    <mergeCell ref="B14:C14"/>
    <mergeCell ref="A9:H9"/>
    <mergeCell ref="A10:H10"/>
    <mergeCell ref="J56:N56"/>
    <mergeCell ref="K41:K49"/>
    <mergeCell ref="J52:N52"/>
    <mergeCell ref="J53:N53"/>
    <mergeCell ref="J54:N54"/>
    <mergeCell ref="J55:N55"/>
    <mergeCell ref="J41:J49"/>
    <mergeCell ref="M39:N39"/>
    <mergeCell ref="J39:J40"/>
    <mergeCell ref="K39:K40"/>
    <mergeCell ref="A40:H40"/>
    <mergeCell ref="L39:L40"/>
    <mergeCell ref="A39:H39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9"/>
  <sheetViews>
    <sheetView view="pageBreakPreview" topLeftCell="A30" zoomScaleNormal="150" zoomScaleSheetLayoutView="100" workbookViewId="0">
      <selection activeCell="D1" sqref="D1:D3"/>
    </sheetView>
  </sheetViews>
  <sheetFormatPr defaultRowHeight="12.75" x14ac:dyDescent="0.2"/>
  <cols>
    <col min="1" max="1" width="4.85546875" style="238" customWidth="1"/>
    <col min="2" max="2" width="44" style="238" customWidth="1"/>
    <col min="3" max="3" width="22.7109375" style="238" customWidth="1"/>
    <col min="4" max="4" width="11" style="239" customWidth="1"/>
    <col min="5" max="5" width="11" style="238" customWidth="1"/>
    <col min="6" max="6" width="11" style="240" customWidth="1"/>
    <col min="7" max="7" width="18" style="238" customWidth="1"/>
    <col min="8" max="8" width="9.5703125" style="199" bestFit="1" customWidth="1"/>
    <col min="9" max="9" width="9.28515625" style="199" bestFit="1" customWidth="1"/>
    <col min="10" max="16384" width="9.140625" style="199"/>
  </cols>
  <sheetData>
    <row r="1" spans="1:20" s="186" customFormat="1" ht="18" customHeight="1" x14ac:dyDescent="0.2">
      <c r="D1" s="187"/>
      <c r="E1" s="187"/>
      <c r="F1" s="187"/>
      <c r="G1" s="187"/>
      <c r="J1" s="188"/>
      <c r="K1" s="188"/>
      <c r="N1" s="189"/>
      <c r="O1" s="189"/>
      <c r="P1" s="190"/>
      <c r="Q1" s="191"/>
      <c r="R1" s="192"/>
      <c r="S1" s="191"/>
      <c r="T1" s="190"/>
    </row>
    <row r="2" spans="1:20" s="196" customFormat="1" ht="18" customHeight="1" x14ac:dyDescent="0.2">
      <c r="A2" s="186"/>
      <c r="B2" s="186"/>
      <c r="C2" s="186"/>
      <c r="D2" s="71"/>
      <c r="E2" s="193"/>
      <c r="F2" s="194"/>
      <c r="G2" s="195"/>
      <c r="I2" s="197"/>
      <c r="J2" s="198"/>
      <c r="K2" s="198"/>
    </row>
    <row r="3" spans="1:20" s="186" customFormat="1" ht="18" customHeight="1" x14ac:dyDescent="0.2">
      <c r="D3" s="71"/>
      <c r="E3" s="193"/>
      <c r="F3" s="194"/>
      <c r="G3" s="195"/>
      <c r="I3" s="197"/>
      <c r="J3" s="198"/>
      <c r="K3" s="198"/>
      <c r="N3" s="189"/>
      <c r="O3" s="189"/>
      <c r="P3" s="190"/>
      <c r="Q3" s="191"/>
      <c r="R3" s="192"/>
      <c r="S3" s="191"/>
      <c r="T3" s="190"/>
    </row>
    <row r="5" spans="1:20" ht="14.25" x14ac:dyDescent="0.2">
      <c r="A5" s="652" t="s">
        <v>76</v>
      </c>
      <c r="B5" s="652"/>
      <c r="C5" s="652"/>
      <c r="D5" s="652"/>
      <c r="E5" s="652"/>
      <c r="F5" s="652"/>
      <c r="G5" s="652"/>
      <c r="H5" s="184"/>
    </row>
    <row r="6" spans="1:20" ht="14.25" x14ac:dyDescent="0.2">
      <c r="A6" s="297"/>
      <c r="B6" s="297"/>
      <c r="C6" s="297"/>
      <c r="D6" s="297"/>
      <c r="E6" s="297"/>
      <c r="F6" s="297"/>
      <c r="G6" s="297"/>
      <c r="H6" s="184"/>
    </row>
    <row r="7" spans="1:20" ht="42" customHeight="1" x14ac:dyDescent="0.2">
      <c r="A7" s="653" t="str">
        <f>' ССР'!A7:D7</f>
        <v>на разработку проектной документации и рабочей документации на прокладку разводящей тепловой сети ПАО "МОЭК", расположенной по адресу: г. Москва, ул. Дмитрия Ульянова, д.43, корп.3, стр.1</v>
      </c>
      <c r="B7" s="654"/>
      <c r="C7" s="654"/>
      <c r="D7" s="654"/>
      <c r="E7" s="654"/>
      <c r="F7" s="654"/>
      <c r="G7" s="654"/>
      <c r="H7" s="200"/>
    </row>
    <row r="8" spans="1:20" x14ac:dyDescent="0.2">
      <c r="A8" s="201"/>
      <c r="B8" s="201"/>
      <c r="C8" s="202"/>
      <c r="D8" s="201"/>
      <c r="E8" s="201"/>
      <c r="F8" s="201"/>
      <c r="G8" s="201"/>
    </row>
    <row r="9" spans="1:20" ht="20.25" customHeight="1" x14ac:dyDescent="0.2">
      <c r="A9" s="657" t="s">
        <v>98</v>
      </c>
      <c r="B9" s="657"/>
      <c r="C9" s="657"/>
      <c r="D9" s="657"/>
      <c r="E9" s="657"/>
      <c r="F9" s="657"/>
      <c r="G9" s="657"/>
    </row>
    <row r="10" spans="1:20" ht="33.75" customHeight="1" x14ac:dyDescent="0.2">
      <c r="A10" s="655" t="s">
        <v>94</v>
      </c>
      <c r="B10" s="655"/>
      <c r="C10" s="655"/>
      <c r="D10" s="655"/>
      <c r="E10" s="655"/>
      <c r="F10" s="655"/>
      <c r="G10" s="655"/>
    </row>
    <row r="11" spans="1:20" ht="10.5" customHeight="1" x14ac:dyDescent="0.2">
      <c r="A11" s="298"/>
      <c r="B11" s="298"/>
      <c r="C11" s="298"/>
      <c r="D11" s="298"/>
      <c r="E11" s="298"/>
      <c r="F11" s="298"/>
      <c r="G11" s="298"/>
    </row>
    <row r="12" spans="1:20" ht="76.5" x14ac:dyDescent="0.2">
      <c r="A12" s="203" t="s">
        <v>23</v>
      </c>
      <c r="B12" s="299" t="s">
        <v>24</v>
      </c>
      <c r="C12" s="299" t="s">
        <v>96</v>
      </c>
      <c r="D12" s="204" t="s">
        <v>95</v>
      </c>
      <c r="E12" s="299" t="s">
        <v>25</v>
      </c>
      <c r="F12" s="299" t="s">
        <v>26</v>
      </c>
      <c r="G12" s="299" t="s">
        <v>27</v>
      </c>
    </row>
    <row r="13" spans="1:20" x14ac:dyDescent="0.2">
      <c r="A13" s="656" t="s">
        <v>28</v>
      </c>
      <c r="B13" s="656"/>
      <c r="C13" s="656"/>
      <c r="D13" s="656"/>
      <c r="E13" s="656"/>
      <c r="F13" s="656"/>
      <c r="G13" s="656"/>
    </row>
    <row r="14" spans="1:20" x14ac:dyDescent="0.2">
      <c r="A14" s="205"/>
      <c r="B14" s="205" t="s">
        <v>29</v>
      </c>
      <c r="C14" s="205"/>
      <c r="D14" s="206"/>
      <c r="E14" s="205" t="s">
        <v>30</v>
      </c>
      <c r="F14" s="385">
        <f>Т.с.!C48</f>
        <v>120</v>
      </c>
      <c r="G14" s="205"/>
      <c r="H14" s="200"/>
    </row>
    <row r="15" spans="1:20" ht="25.5" x14ac:dyDescent="0.2">
      <c r="A15" s="205"/>
      <c r="B15" s="207" t="s">
        <v>31</v>
      </c>
      <c r="C15" s="205"/>
      <c r="D15" s="206"/>
      <c r="E15" s="205"/>
      <c r="F15" s="385"/>
      <c r="G15" s="205"/>
    </row>
    <row r="16" spans="1:20" x14ac:dyDescent="0.2">
      <c r="A16" s="205"/>
      <c r="B16" s="205" t="s">
        <v>32</v>
      </c>
      <c r="C16" s="205" t="s">
        <v>33</v>
      </c>
      <c r="D16" s="386">
        <v>522</v>
      </c>
      <c r="E16" s="205"/>
      <c r="F16" s="385">
        <f>F14</f>
        <v>120</v>
      </c>
      <c r="G16" s="388">
        <f>D16*F16</f>
        <v>62640</v>
      </c>
    </row>
    <row r="17" spans="1:8" ht="25.5" x14ac:dyDescent="0.2">
      <c r="A17" s="205"/>
      <c r="B17" s="207" t="s">
        <v>34</v>
      </c>
      <c r="C17" s="205" t="s">
        <v>35</v>
      </c>
      <c r="D17" s="206">
        <v>1.1499999999999999</v>
      </c>
      <c r="E17" s="205"/>
      <c r="F17" s="385"/>
      <c r="G17" s="389">
        <f>ROUND(G16*1.15,0)</f>
        <v>72036</v>
      </c>
      <c r="H17" s="200"/>
    </row>
    <row r="18" spans="1:8" x14ac:dyDescent="0.2">
      <c r="A18" s="205"/>
      <c r="B18" s="209" t="s">
        <v>36</v>
      </c>
      <c r="C18" s="205"/>
      <c r="D18" s="206"/>
      <c r="E18" s="205"/>
      <c r="F18" s="385"/>
      <c r="G18" s="390">
        <f>G17</f>
        <v>72036</v>
      </c>
    </row>
    <row r="19" spans="1:8" ht="51" hidden="1" x14ac:dyDescent="0.2">
      <c r="A19" s="205"/>
      <c r="B19" s="209" t="s">
        <v>37</v>
      </c>
      <c r="C19" s="211" t="s">
        <v>81</v>
      </c>
      <c r="D19" s="212">
        <v>3.76</v>
      </c>
      <c r="E19" s="205"/>
      <c r="F19" s="208"/>
      <c r="G19" s="210">
        <f>G18*D19</f>
        <v>270855.36</v>
      </c>
    </row>
    <row r="20" spans="1:8" x14ac:dyDescent="0.2">
      <c r="A20" s="656" t="s">
        <v>38</v>
      </c>
      <c r="B20" s="656"/>
      <c r="C20" s="656"/>
      <c r="D20" s="656"/>
      <c r="E20" s="656"/>
      <c r="F20" s="656"/>
      <c r="G20" s="656"/>
    </row>
    <row r="21" spans="1:8" x14ac:dyDescent="0.2">
      <c r="A21" s="205"/>
      <c r="B21" s="205" t="s">
        <v>29</v>
      </c>
      <c r="C21" s="205"/>
      <c r="D21" s="206"/>
      <c r="E21" s="205" t="s">
        <v>30</v>
      </c>
      <c r="F21" s="385">
        <f>F14</f>
        <v>120</v>
      </c>
      <c r="G21" s="205"/>
      <c r="H21" s="200"/>
    </row>
    <row r="22" spans="1:8" ht="25.5" x14ac:dyDescent="0.2">
      <c r="A22" s="205"/>
      <c r="B22" s="207" t="s">
        <v>31</v>
      </c>
      <c r="C22" s="205"/>
      <c r="D22" s="206"/>
      <c r="E22" s="205"/>
      <c r="F22" s="385"/>
      <c r="G22" s="205"/>
    </row>
    <row r="23" spans="1:8" x14ac:dyDescent="0.2">
      <c r="A23" s="205"/>
      <c r="B23" s="205" t="s">
        <v>32</v>
      </c>
      <c r="C23" s="205" t="s">
        <v>33</v>
      </c>
      <c r="D23" s="386">
        <v>296</v>
      </c>
      <c r="E23" s="205"/>
      <c r="F23" s="385">
        <f>F21</f>
        <v>120</v>
      </c>
      <c r="G23" s="388">
        <f>D23*F23</f>
        <v>35520</v>
      </c>
    </row>
    <row r="24" spans="1:8" ht="25.5" x14ac:dyDescent="0.2">
      <c r="A24" s="205"/>
      <c r="B24" s="207" t="s">
        <v>34</v>
      </c>
      <c r="C24" s="205" t="s">
        <v>35</v>
      </c>
      <c r="D24" s="206">
        <v>1.1499999999999999</v>
      </c>
      <c r="E24" s="205"/>
      <c r="F24" s="208"/>
      <c r="G24" s="389">
        <f>ROUND(G23*D24,0)</f>
        <v>40848</v>
      </c>
      <c r="H24" s="200"/>
    </row>
    <row r="25" spans="1:8" x14ac:dyDescent="0.2">
      <c r="A25" s="205"/>
      <c r="B25" s="209" t="s">
        <v>39</v>
      </c>
      <c r="C25" s="205"/>
      <c r="D25" s="206"/>
      <c r="E25" s="205"/>
      <c r="F25" s="208"/>
      <c r="G25" s="390">
        <f>G24</f>
        <v>40848</v>
      </c>
    </row>
    <row r="26" spans="1:8" ht="51" hidden="1" x14ac:dyDescent="0.2">
      <c r="A26" s="205"/>
      <c r="B26" s="209" t="s">
        <v>40</v>
      </c>
      <c r="C26" s="211" t="s">
        <v>81</v>
      </c>
      <c r="D26" s="212">
        <v>3.76</v>
      </c>
      <c r="E26" s="205"/>
      <c r="F26" s="208"/>
      <c r="G26" s="210">
        <f>G25*D26</f>
        <v>153588.47999999998</v>
      </c>
    </row>
    <row r="27" spans="1:8" x14ac:dyDescent="0.2">
      <c r="A27" s="205"/>
      <c r="B27" s="209"/>
      <c r="C27" s="211"/>
      <c r="D27" s="212"/>
      <c r="E27" s="205"/>
      <c r="F27" s="208"/>
      <c r="G27" s="210"/>
    </row>
    <row r="28" spans="1:8" x14ac:dyDescent="0.2">
      <c r="A28" s="656" t="s">
        <v>209</v>
      </c>
      <c r="B28" s="656"/>
      <c r="C28" s="656"/>
      <c r="D28" s="656"/>
      <c r="E28" s="656"/>
      <c r="F28" s="656"/>
      <c r="G28" s="656"/>
    </row>
    <row r="29" spans="1:8" x14ac:dyDescent="0.2">
      <c r="A29" s="205"/>
      <c r="B29" s="205" t="s">
        <v>29</v>
      </c>
      <c r="C29" s="205"/>
      <c r="D29" s="206"/>
      <c r="E29" s="205" t="s">
        <v>30</v>
      </c>
      <c r="F29" s="387">
        <f>F14</f>
        <v>120</v>
      </c>
      <c r="G29" s="205"/>
    </row>
    <row r="30" spans="1:8" ht="25.5" x14ac:dyDescent="0.2">
      <c r="A30" s="205"/>
      <c r="B30" s="207" t="s">
        <v>31</v>
      </c>
      <c r="C30" s="205"/>
      <c r="D30" s="206"/>
      <c r="E30" s="205"/>
      <c r="F30" s="387"/>
      <c r="G30" s="205"/>
    </row>
    <row r="31" spans="1:8" x14ac:dyDescent="0.2">
      <c r="A31" s="205"/>
      <c r="B31" s="205" t="s">
        <v>32</v>
      </c>
      <c r="C31" s="205" t="s">
        <v>33</v>
      </c>
      <c r="D31" s="386">
        <v>178</v>
      </c>
      <c r="E31" s="205"/>
      <c r="F31" s="387">
        <f>F29</f>
        <v>120</v>
      </c>
      <c r="G31" s="388">
        <f>ROUND(D31*F31,2)</f>
        <v>21360</v>
      </c>
    </row>
    <row r="32" spans="1:8" ht="25.5" x14ac:dyDescent="0.2">
      <c r="A32" s="205"/>
      <c r="B32" s="207" t="s">
        <v>34</v>
      </c>
      <c r="C32" s="205" t="s">
        <v>35</v>
      </c>
      <c r="D32" s="206">
        <v>1.1499999999999999</v>
      </c>
      <c r="E32" s="205"/>
      <c r="F32" s="387"/>
      <c r="G32" s="390">
        <f>ROUND(G31*1.15,0)</f>
        <v>24564</v>
      </c>
    </row>
    <row r="33" spans="1:11" x14ac:dyDescent="0.2">
      <c r="A33" s="205"/>
      <c r="B33" s="209" t="s">
        <v>210</v>
      </c>
      <c r="C33" s="205"/>
      <c r="D33" s="206"/>
      <c r="E33" s="205"/>
      <c r="F33" s="208"/>
      <c r="G33" s="390">
        <f>G32</f>
        <v>24564</v>
      </c>
    </row>
    <row r="34" spans="1:11" x14ac:dyDescent="0.2">
      <c r="A34" s="205"/>
      <c r="B34" s="209"/>
      <c r="C34" s="205"/>
      <c r="D34" s="206"/>
      <c r="E34" s="205"/>
      <c r="F34" s="208"/>
      <c r="G34" s="390"/>
    </row>
    <row r="35" spans="1:11" x14ac:dyDescent="0.2">
      <c r="A35" s="205"/>
      <c r="B35" s="209" t="s">
        <v>41</v>
      </c>
      <c r="C35" s="205"/>
      <c r="D35" s="206"/>
      <c r="E35" s="205"/>
      <c r="F35" s="208"/>
      <c r="G35" s="390">
        <f>G18+G25+G33</f>
        <v>137448</v>
      </c>
    </row>
    <row r="36" spans="1:11" ht="27" hidden="1" customHeight="1" x14ac:dyDescent="0.2">
      <c r="A36" s="213"/>
      <c r="B36" s="214" t="s">
        <v>1</v>
      </c>
      <c r="C36" s="214"/>
      <c r="D36" s="215">
        <v>0.18</v>
      </c>
      <c r="E36" s="213"/>
      <c r="F36" s="216"/>
      <c r="G36" s="217">
        <f>G35*D36</f>
        <v>24740.639999999999</v>
      </c>
    </row>
    <row r="37" spans="1:11" ht="27" hidden="1" customHeight="1" x14ac:dyDescent="0.2">
      <c r="A37" s="205"/>
      <c r="B37" s="209" t="s">
        <v>42</v>
      </c>
      <c r="C37" s="207"/>
      <c r="D37" s="206"/>
      <c r="E37" s="205"/>
      <c r="F37" s="208"/>
      <c r="G37" s="210">
        <f>G35+G36</f>
        <v>162188.64000000001</v>
      </c>
    </row>
    <row r="39" spans="1:11" s="138" customFormat="1" hidden="1" x14ac:dyDescent="0.2">
      <c r="B39" s="218" t="s">
        <v>43</v>
      </c>
      <c r="C39" s="219"/>
      <c r="D39" s="138" t="s">
        <v>44</v>
      </c>
      <c r="F39" s="185"/>
      <c r="G39" s="141"/>
      <c r="H39" s="157"/>
      <c r="J39" s="180"/>
      <c r="K39" s="180"/>
    </row>
    <row r="40" spans="1:11" s="65" customFormat="1" x14ac:dyDescent="0.2">
      <c r="D40" s="67"/>
      <c r="F40" s="68"/>
      <c r="H40" s="78"/>
      <c r="I40" s="70"/>
    </row>
    <row r="41" spans="1:11" s="65" customFormat="1" x14ac:dyDescent="0.2">
      <c r="D41" s="67"/>
      <c r="F41" s="68"/>
      <c r="H41" s="78"/>
      <c r="I41" s="70"/>
    </row>
    <row r="42" spans="1:11" s="65" customFormat="1" x14ac:dyDescent="0.2">
      <c r="D42" s="67"/>
      <c r="F42" s="68"/>
      <c r="H42" s="78"/>
      <c r="I42" s="70"/>
    </row>
    <row r="43" spans="1:11" s="138" customFormat="1" hidden="1" x14ac:dyDescent="0.2">
      <c r="B43" s="220" t="s">
        <v>45</v>
      </c>
      <c r="C43" s="221"/>
      <c r="D43" s="222"/>
      <c r="E43" s="223" t="s">
        <v>46</v>
      </c>
      <c r="F43" s="224"/>
      <c r="G43" s="225"/>
      <c r="H43" s="224"/>
      <c r="I43" s="226"/>
      <c r="J43" s="227"/>
      <c r="K43" s="228"/>
    </row>
    <row r="44" spans="1:11" s="138" customFormat="1" hidden="1" x14ac:dyDescent="0.2">
      <c r="B44" s="220" t="s">
        <v>47</v>
      </c>
      <c r="C44" s="221"/>
      <c r="D44" s="222"/>
      <c r="E44" s="223" t="s">
        <v>21</v>
      </c>
      <c r="F44" s="224"/>
      <c r="G44" s="225"/>
      <c r="H44" s="224"/>
      <c r="I44" s="226"/>
      <c r="J44" s="227"/>
      <c r="K44" s="228"/>
    </row>
    <row r="45" spans="1:11" s="138" customFormat="1" hidden="1" x14ac:dyDescent="0.2">
      <c r="B45" s="220" t="s">
        <v>20</v>
      </c>
      <c r="C45" s="229"/>
      <c r="D45" s="230"/>
      <c r="E45" s="223"/>
      <c r="F45" s="224"/>
      <c r="G45" s="225"/>
      <c r="H45" s="224"/>
      <c r="I45" s="226"/>
      <c r="J45" s="227"/>
      <c r="K45" s="228"/>
    </row>
    <row r="46" spans="1:11" s="138" customFormat="1" hidden="1" x14ac:dyDescent="0.2">
      <c r="B46" s="231"/>
      <c r="C46" s="229"/>
      <c r="D46" s="230"/>
      <c r="E46" s="223"/>
      <c r="F46" s="224"/>
      <c r="G46" s="225"/>
      <c r="H46" s="224"/>
      <c r="I46" s="226"/>
      <c r="J46" s="227"/>
      <c r="K46" s="228"/>
    </row>
    <row r="47" spans="1:11" s="138" customFormat="1" hidden="1" x14ac:dyDescent="0.2">
      <c r="B47" s="231"/>
      <c r="C47" s="229"/>
      <c r="D47" s="230"/>
      <c r="E47" s="232"/>
      <c r="F47" s="224"/>
      <c r="G47" s="225"/>
      <c r="H47" s="224"/>
      <c r="I47" s="226"/>
      <c r="J47" s="227"/>
      <c r="K47" s="228"/>
    </row>
    <row r="48" spans="1:11" s="138" customFormat="1" hidden="1" x14ac:dyDescent="0.2">
      <c r="B48" s="227" t="s">
        <v>48</v>
      </c>
      <c r="C48" s="233"/>
      <c r="D48" s="222"/>
      <c r="E48" s="234"/>
      <c r="F48" s="235"/>
      <c r="G48" s="236" t="s">
        <v>22</v>
      </c>
      <c r="H48" s="236"/>
      <c r="I48" s="237"/>
      <c r="J48" s="227"/>
      <c r="K48" s="228"/>
    </row>
    <row r="49" spans="2:11" s="138" customFormat="1" hidden="1" x14ac:dyDescent="0.2">
      <c r="B49" s="154" t="s">
        <v>30</v>
      </c>
      <c r="D49" s="222"/>
      <c r="E49" s="154" t="s">
        <v>30</v>
      </c>
      <c r="F49" s="139"/>
      <c r="H49" s="139"/>
      <c r="I49" s="650"/>
      <c r="J49" s="651"/>
      <c r="K49" s="651"/>
    </row>
  </sheetData>
  <mergeCells count="8">
    <mergeCell ref="I49:K49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topLeftCell="A4" zoomScale="85" zoomScaleNormal="100" zoomScaleSheetLayoutView="85" workbookViewId="0">
      <selection activeCell="F38" sqref="F38"/>
    </sheetView>
  </sheetViews>
  <sheetFormatPr defaultColWidth="9.140625" defaultRowHeight="15.75" x14ac:dyDescent="0.25"/>
  <cols>
    <col min="1" max="1" width="6.28515625" style="456" customWidth="1"/>
    <col min="2" max="2" width="34" style="456" customWidth="1"/>
    <col min="3" max="3" width="18.28515625" style="456" customWidth="1"/>
    <col min="4" max="4" width="12.140625" style="456" customWidth="1"/>
    <col min="5" max="5" width="23.85546875" style="456" customWidth="1"/>
    <col min="6" max="6" width="9.28515625" style="456" bestFit="1" customWidth="1"/>
    <col min="7" max="7" width="26.28515625" style="456" customWidth="1"/>
    <col min="8" max="8" width="14.28515625" style="456" customWidth="1"/>
    <col min="9" max="9" width="25.85546875" style="455" customWidth="1"/>
    <col min="10" max="10" width="10.28515625" style="456" customWidth="1"/>
    <col min="11" max="11" width="11.5703125" style="456" customWidth="1"/>
    <col min="12" max="16384" width="9.140625" style="456"/>
  </cols>
  <sheetData>
    <row r="1" spans="1:9" hidden="1" x14ac:dyDescent="0.25">
      <c r="A1" s="454"/>
      <c r="B1" s="454"/>
      <c r="C1" s="454"/>
      <c r="D1" s="454"/>
      <c r="E1" s="454"/>
      <c r="F1" s="670" t="s">
        <v>67</v>
      </c>
      <c r="G1" s="670"/>
      <c r="H1" s="670"/>
    </row>
    <row r="2" spans="1:9" hidden="1" x14ac:dyDescent="0.25">
      <c r="A2" s="359"/>
      <c r="B2" s="359"/>
      <c r="C2" s="359"/>
      <c r="D2" s="457"/>
      <c r="E2" s="359"/>
      <c r="F2" s="670" t="s">
        <v>106</v>
      </c>
      <c r="G2" s="670"/>
      <c r="H2" s="670"/>
    </row>
    <row r="3" spans="1:9" hidden="1" x14ac:dyDescent="0.25">
      <c r="A3" s="359"/>
      <c r="B3" s="359"/>
      <c r="C3" s="359"/>
      <c r="D3" s="457"/>
      <c r="E3" s="359"/>
      <c r="F3" s="458" t="s">
        <v>107</v>
      </c>
      <c r="G3" s="459"/>
      <c r="H3" s="460"/>
    </row>
    <row r="4" spans="1:9" x14ac:dyDescent="0.25">
      <c r="A4" s="359"/>
      <c r="B4" s="359"/>
      <c r="C4" s="359"/>
      <c r="D4" s="457"/>
      <c r="E4" s="359"/>
      <c r="F4" s="458"/>
      <c r="G4" s="459"/>
      <c r="H4" s="460"/>
    </row>
    <row r="5" spans="1:9" x14ac:dyDescent="0.25">
      <c r="A5" s="671" t="s">
        <v>108</v>
      </c>
      <c r="B5" s="671"/>
      <c r="C5" s="671"/>
      <c r="D5" s="671"/>
      <c r="E5" s="671"/>
      <c r="F5" s="671"/>
      <c r="G5" s="671"/>
      <c r="H5" s="671"/>
    </row>
    <row r="6" spans="1:9" x14ac:dyDescent="0.25">
      <c r="A6" s="461"/>
      <c r="B6" s="461"/>
      <c r="C6" s="461"/>
      <c r="D6" s="461"/>
      <c r="E6" s="461"/>
      <c r="F6" s="461"/>
      <c r="G6" s="461"/>
      <c r="H6" s="461"/>
    </row>
    <row r="7" spans="1:9" x14ac:dyDescent="0.25">
      <c r="A7" s="462"/>
      <c r="B7" s="462"/>
      <c r="C7" s="462"/>
      <c r="D7" s="462"/>
      <c r="E7" s="462"/>
      <c r="F7" s="462"/>
      <c r="G7" s="462"/>
      <c r="H7" s="462"/>
    </row>
    <row r="8" spans="1:9" ht="35.25" customHeight="1" x14ac:dyDescent="0.25">
      <c r="A8" s="664" t="str">
        <f>' ССР'!A7:D7</f>
        <v>на разработку проектной документации и рабочей документации на прокладку разводящей тепловой сети ПАО "МОЭК", расположенной по адресу: г. Москва, ул. Дмитрия Ульянова, д.43, корп.3, стр.1</v>
      </c>
      <c r="B8" s="664"/>
      <c r="C8" s="664"/>
      <c r="D8" s="664"/>
      <c r="E8" s="664"/>
      <c r="F8" s="664"/>
      <c r="G8" s="664"/>
      <c r="H8" s="664"/>
    </row>
    <row r="9" spans="1:9" ht="25.5" customHeight="1" x14ac:dyDescent="0.25">
      <c r="A9" s="664" t="s">
        <v>240</v>
      </c>
      <c r="B9" s="664"/>
      <c r="C9" s="664"/>
      <c r="D9" s="664"/>
      <c r="E9" s="664"/>
      <c r="F9" s="664"/>
      <c r="G9" s="664"/>
      <c r="H9" s="664"/>
    </row>
    <row r="10" spans="1:9" ht="25.5" customHeight="1" x14ac:dyDescent="0.25">
      <c r="A10" s="664" t="s">
        <v>241</v>
      </c>
      <c r="B10" s="664"/>
      <c r="C10" s="664"/>
      <c r="D10" s="664"/>
      <c r="E10" s="664"/>
      <c r="F10" s="664"/>
      <c r="G10" s="664"/>
      <c r="H10" s="664"/>
    </row>
    <row r="11" spans="1:9" ht="21.75" customHeight="1" x14ac:dyDescent="0.25">
      <c r="A11" s="459"/>
      <c r="B11" s="463"/>
      <c r="C11" s="463"/>
      <c r="D11" s="464"/>
      <c r="E11" s="463"/>
      <c r="F11" s="465"/>
      <c r="G11" s="463"/>
      <c r="H11" s="464"/>
    </row>
    <row r="12" spans="1:9" ht="59.25" customHeight="1" thickBot="1" x14ac:dyDescent="0.3">
      <c r="A12" s="665" t="s">
        <v>307</v>
      </c>
      <c r="B12" s="666"/>
      <c r="C12" s="666"/>
      <c r="D12" s="666"/>
      <c r="E12" s="666"/>
      <c r="F12" s="666"/>
      <c r="G12" s="666"/>
      <c r="H12" s="667"/>
    </row>
    <row r="13" spans="1:9" s="471" customFormat="1" ht="24.75" thickBot="1" x14ac:dyDescent="0.25">
      <c r="A13" s="466" t="s">
        <v>49</v>
      </c>
      <c r="B13" s="668" t="s">
        <v>50</v>
      </c>
      <c r="C13" s="669"/>
      <c r="D13" s="467" t="s">
        <v>51</v>
      </c>
      <c r="E13" s="467" t="s">
        <v>308</v>
      </c>
      <c r="F13" s="468" t="s">
        <v>52</v>
      </c>
      <c r="G13" s="467" t="s">
        <v>0</v>
      </c>
      <c r="H13" s="469" t="s">
        <v>53</v>
      </c>
      <c r="I13" s="470"/>
    </row>
    <row r="14" spans="1:9" ht="78.75" x14ac:dyDescent="0.25">
      <c r="A14" s="472">
        <v>1</v>
      </c>
      <c r="B14" s="473" t="s">
        <v>109</v>
      </c>
      <c r="C14" s="474" t="s">
        <v>124</v>
      </c>
      <c r="D14" s="475">
        <v>820</v>
      </c>
      <c r="E14" s="476" t="s">
        <v>242</v>
      </c>
      <c r="F14" s="477">
        <v>1</v>
      </c>
      <c r="G14" s="477" t="str">
        <f>CONCATENATE(D14,"*",F14)</f>
        <v>820*1</v>
      </c>
      <c r="H14" s="478">
        <f>ROUND(D14*F14,2)</f>
        <v>820</v>
      </c>
      <c r="I14" s="479"/>
    </row>
    <row r="15" spans="1:9" ht="47.25" x14ac:dyDescent="0.25">
      <c r="A15" s="472">
        <v>2</v>
      </c>
      <c r="B15" s="473" t="s">
        <v>110</v>
      </c>
      <c r="C15" s="474" t="s">
        <v>124</v>
      </c>
      <c r="D15" s="475">
        <v>1326</v>
      </c>
      <c r="E15" s="476" t="s">
        <v>243</v>
      </c>
      <c r="F15" s="477">
        <v>1</v>
      </c>
      <c r="G15" s="477" t="str">
        <f>CONCATENATE(D15,"*",F15)</f>
        <v>1326*1</v>
      </c>
      <c r="H15" s="478">
        <f>ROUND(D15*F15,2)</f>
        <v>1326</v>
      </c>
      <c r="I15" s="479"/>
    </row>
    <row r="16" spans="1:9" x14ac:dyDescent="0.25">
      <c r="A16" s="472"/>
      <c r="B16" s="480" t="s">
        <v>111</v>
      </c>
      <c r="C16" s="476"/>
      <c r="D16" s="481"/>
      <c r="E16" s="476"/>
      <c r="F16" s="482"/>
      <c r="G16" s="483"/>
      <c r="H16" s="484">
        <f>SUM(H14:H15)</f>
        <v>2146</v>
      </c>
      <c r="I16" s="479"/>
    </row>
    <row r="17" spans="1:10" ht="31.5" x14ac:dyDescent="0.25">
      <c r="A17" s="472">
        <v>3</v>
      </c>
      <c r="B17" s="473" t="s">
        <v>54</v>
      </c>
      <c r="C17" s="474" t="s">
        <v>124</v>
      </c>
      <c r="D17" s="475">
        <v>484</v>
      </c>
      <c r="E17" s="476" t="s">
        <v>244</v>
      </c>
      <c r="F17" s="477">
        <v>1</v>
      </c>
      <c r="G17" s="477" t="str">
        <f>CONCATENATE(D17,"*",F17)</f>
        <v>484*1</v>
      </c>
      <c r="H17" s="478">
        <f>ROUND(D17*F17,2)</f>
        <v>484</v>
      </c>
      <c r="I17" s="479"/>
    </row>
    <row r="18" spans="1:10" ht="78.75" x14ac:dyDescent="0.25">
      <c r="A18" s="485">
        <v>4</v>
      </c>
      <c r="B18" s="486" t="s">
        <v>55</v>
      </c>
      <c r="C18" s="487"/>
      <c r="D18" s="488">
        <v>1214</v>
      </c>
      <c r="E18" s="489" t="s">
        <v>245</v>
      </c>
      <c r="F18" s="488">
        <v>1</v>
      </c>
      <c r="G18" s="477" t="str">
        <f>CONCATENATE(D18,"*",F18)</f>
        <v>1214*1</v>
      </c>
      <c r="H18" s="478">
        <f>ROUND(D18*F18,2)</f>
        <v>1214</v>
      </c>
      <c r="I18" s="479"/>
    </row>
    <row r="19" spans="1:10" ht="31.5" x14ac:dyDescent="0.25">
      <c r="A19" s="485">
        <v>5</v>
      </c>
      <c r="B19" s="486" t="s">
        <v>56</v>
      </c>
      <c r="C19" s="487"/>
      <c r="D19" s="488">
        <v>318</v>
      </c>
      <c r="E19" s="489" t="s">
        <v>246</v>
      </c>
      <c r="F19" s="488">
        <v>1</v>
      </c>
      <c r="G19" s="477" t="str">
        <f>CONCATENATE(D19,"*",F19)</f>
        <v>318*1</v>
      </c>
      <c r="H19" s="478">
        <f>ROUND(D19*F19,2)</f>
        <v>318</v>
      </c>
      <c r="I19" s="479"/>
    </row>
    <row r="20" spans="1:10" ht="47.25" x14ac:dyDescent="0.25">
      <c r="A20" s="485">
        <v>6</v>
      </c>
      <c r="B20" s="486" t="s">
        <v>57</v>
      </c>
      <c r="C20" s="487"/>
      <c r="D20" s="488">
        <v>318</v>
      </c>
      <c r="E20" s="489" t="s">
        <v>247</v>
      </c>
      <c r="F20" s="488">
        <v>1</v>
      </c>
      <c r="G20" s="477" t="str">
        <f>CONCATENATE(D20,"*",F20)</f>
        <v>318*1</v>
      </c>
      <c r="H20" s="478">
        <f>ROUND(D20*F20,2)</f>
        <v>318</v>
      </c>
      <c r="I20" s="479"/>
    </row>
    <row r="21" spans="1:10" ht="94.5" x14ac:dyDescent="0.25">
      <c r="A21" s="490">
        <v>7</v>
      </c>
      <c r="B21" s="491" t="s">
        <v>248</v>
      </c>
      <c r="C21" s="492" t="s">
        <v>58</v>
      </c>
      <c r="D21" s="493">
        <v>122</v>
      </c>
      <c r="E21" s="494" t="s">
        <v>249</v>
      </c>
      <c r="F21" s="495">
        <f>[1]Т.с.!C78/1000</f>
        <v>8.2200000000000009E-2</v>
      </c>
      <c r="G21" s="475">
        <f>D21</f>
        <v>122</v>
      </c>
      <c r="H21" s="496">
        <f>G21</f>
        <v>122</v>
      </c>
      <c r="I21" s="479"/>
    </row>
    <row r="22" spans="1:10" ht="31.5" x14ac:dyDescent="0.25">
      <c r="A22" s="490">
        <v>8</v>
      </c>
      <c r="B22" s="497" t="s">
        <v>112</v>
      </c>
      <c r="C22" s="474" t="s">
        <v>124</v>
      </c>
      <c r="D22" s="493">
        <v>1241</v>
      </c>
      <c r="E22" s="494" t="s">
        <v>250</v>
      </c>
      <c r="F22" s="498">
        <v>1</v>
      </c>
      <c r="G22" s="477" t="str">
        <f>CONCATENATE(D22,"*",F22)</f>
        <v>1241*1</v>
      </c>
      <c r="H22" s="496">
        <f>ROUND(D22*F22,2)</f>
        <v>1241</v>
      </c>
      <c r="I22" s="479"/>
    </row>
    <row r="23" spans="1:10" ht="32.25" customHeight="1" x14ac:dyDescent="0.25">
      <c r="A23" s="490">
        <v>9</v>
      </c>
      <c r="B23" s="499" t="s">
        <v>113</v>
      </c>
      <c r="C23" s="500" t="s">
        <v>251</v>
      </c>
      <c r="D23" s="501">
        <v>1027</v>
      </c>
      <c r="E23" s="502" t="s">
        <v>252</v>
      </c>
      <c r="F23" s="503">
        <v>1</v>
      </c>
      <c r="G23" s="504" t="str">
        <f>CONCATENATE(D23,"*",F23)</f>
        <v>1027*1</v>
      </c>
      <c r="H23" s="496">
        <f>ROUND(D23*F23,2)</f>
        <v>1027</v>
      </c>
    </row>
    <row r="24" spans="1:10" ht="20.25" customHeight="1" x14ac:dyDescent="0.25">
      <c r="A24" s="505"/>
      <c r="B24" s="506" t="s">
        <v>253</v>
      </c>
      <c r="C24" s="507"/>
      <c r="D24" s="508"/>
      <c r="E24" s="509"/>
      <c r="F24" s="510"/>
      <c r="G24" s="511"/>
      <c r="H24" s="478"/>
    </row>
    <row r="25" spans="1:10" ht="67.5" customHeight="1" x14ac:dyDescent="0.25">
      <c r="A25" s="485">
        <v>10</v>
      </c>
      <c r="B25" s="497" t="s">
        <v>114</v>
      </c>
      <c r="C25" s="512" t="s">
        <v>254</v>
      </c>
      <c r="D25" s="493">
        <v>1222</v>
      </c>
      <c r="E25" s="494" t="s">
        <v>255</v>
      </c>
      <c r="F25" s="513">
        <v>1</v>
      </c>
      <c r="G25" s="514" t="str">
        <f>CONCATENATE(D25,"*",F25)</f>
        <v>1222*1</v>
      </c>
      <c r="H25" s="496">
        <f>ROUND(D25*F25,2)</f>
        <v>1222</v>
      </c>
    </row>
    <row r="26" spans="1:10" ht="60" customHeight="1" x14ac:dyDescent="0.25">
      <c r="A26" s="485">
        <v>11</v>
      </c>
      <c r="B26" s="489" t="s">
        <v>256</v>
      </c>
      <c r="C26" s="515" t="s">
        <v>257</v>
      </c>
      <c r="D26" s="516">
        <v>335</v>
      </c>
      <c r="E26" s="489" t="s">
        <v>258</v>
      </c>
      <c r="F26" s="517"/>
      <c r="G26" s="517"/>
      <c r="H26" s="478"/>
    </row>
    <row r="27" spans="1:10" ht="39.75" customHeight="1" x14ac:dyDescent="0.25">
      <c r="A27" s="518" t="s">
        <v>115</v>
      </c>
      <c r="B27" s="519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520"/>
      <c r="D27" s="520">
        <v>8</v>
      </c>
      <c r="E27" s="515"/>
      <c r="F27" s="521">
        <v>6</v>
      </c>
      <c r="G27" s="521" t="str">
        <f>CONCATENATE(D26,"*",D27,"*",F27)</f>
        <v>335*8*6</v>
      </c>
      <c r="H27" s="522">
        <f>ROUND(D26*D27*F27,2)</f>
        <v>16080</v>
      </c>
    </row>
    <row r="28" spans="1:10" ht="38.25" customHeight="1" x14ac:dyDescent="0.25">
      <c r="A28" s="518" t="s">
        <v>131</v>
      </c>
      <c r="B28" s="519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520"/>
      <c r="D28" s="520">
        <v>2</v>
      </c>
      <c r="E28" s="515"/>
      <c r="F28" s="521">
        <v>4</v>
      </c>
      <c r="G28" s="521" t="str">
        <f>CONCATENATE(D26,"*",D28,"*",F28)</f>
        <v>335*2*4</v>
      </c>
      <c r="H28" s="522">
        <f>ROUND(D26*D28*F28,2)</f>
        <v>2680</v>
      </c>
    </row>
    <row r="29" spans="1:10" ht="43.5" customHeight="1" x14ac:dyDescent="0.25">
      <c r="A29" s="523" t="s">
        <v>132</v>
      </c>
      <c r="B29" s="519" t="str">
        <f t="shared" si="0"/>
        <v>Источники неорганизованные, (кол-во 2) веществ в каждом 2</v>
      </c>
      <c r="C29" s="520"/>
      <c r="D29" s="520">
        <v>2</v>
      </c>
      <c r="E29" s="515"/>
      <c r="F29" s="521">
        <v>2</v>
      </c>
      <c r="G29" s="521" t="str">
        <f>CONCATENATE(D26,"*",D29,"*",F29)</f>
        <v>335*2*2</v>
      </c>
      <c r="H29" s="522">
        <f>ROUND(D26*D29*F29,2)</f>
        <v>1340</v>
      </c>
    </row>
    <row r="30" spans="1:10" ht="27.75" customHeight="1" x14ac:dyDescent="0.25">
      <c r="A30" s="485"/>
      <c r="B30" s="524" t="s">
        <v>116</v>
      </c>
      <c r="C30" s="519"/>
      <c r="D30" s="525"/>
      <c r="E30" s="519"/>
      <c r="F30" s="521"/>
      <c r="G30" s="526">
        <f>SUM(H27:H29)</f>
        <v>20100</v>
      </c>
      <c r="H30" s="484"/>
      <c r="I30" s="479"/>
      <c r="J30" s="527"/>
    </row>
    <row r="31" spans="1:10" ht="27.75" customHeight="1" x14ac:dyDescent="0.25">
      <c r="A31" s="472">
        <v>12</v>
      </c>
      <c r="B31" s="486" t="s">
        <v>214</v>
      </c>
      <c r="C31" s="528">
        <v>0.3</v>
      </c>
      <c r="D31" s="475"/>
      <c r="E31" s="476" t="s">
        <v>259</v>
      </c>
      <c r="F31" s="477"/>
      <c r="G31" s="529" t="str">
        <f>CONCATENATE(G30," * ",C31)</f>
        <v>20100 * 0,3</v>
      </c>
      <c r="H31" s="496">
        <f>ROUND(G30*C31,2)</f>
        <v>6030</v>
      </c>
      <c r="I31" s="479"/>
      <c r="J31" s="527"/>
    </row>
    <row r="32" spans="1:10" ht="36" customHeight="1" x14ac:dyDescent="0.25">
      <c r="A32" s="472">
        <v>13</v>
      </c>
      <c r="B32" s="486" t="s">
        <v>117</v>
      </c>
      <c r="C32" s="528">
        <v>0.14000000000000001</v>
      </c>
      <c r="D32" s="475"/>
      <c r="E32" s="476" t="s">
        <v>260</v>
      </c>
      <c r="F32" s="477"/>
      <c r="G32" s="529" t="str">
        <f>CONCATENATE(G30," * ",C32)</f>
        <v>20100 * 0,14</v>
      </c>
      <c r="H32" s="496">
        <f>ROUND(G30*C32,2)</f>
        <v>2814</v>
      </c>
      <c r="I32" s="479"/>
      <c r="J32" s="527"/>
    </row>
    <row r="33" spans="1:11" ht="30" customHeight="1" x14ac:dyDescent="0.25">
      <c r="A33" s="477">
        <v>14</v>
      </c>
      <c r="B33" s="486" t="s">
        <v>118</v>
      </c>
      <c r="C33" s="528">
        <v>0.14000000000000001</v>
      </c>
      <c r="D33" s="475"/>
      <c r="E33" s="476" t="s">
        <v>261</v>
      </c>
      <c r="F33" s="477"/>
      <c r="G33" s="529" t="str">
        <f>CONCATENATE(G30," * ",C33)</f>
        <v>20100 * 0,14</v>
      </c>
      <c r="H33" s="530">
        <f>ROUND(G30*C33,2)</f>
        <v>2814</v>
      </c>
    </row>
    <row r="34" spans="1:11" ht="53.25" hidden="1" customHeight="1" x14ac:dyDescent="0.25">
      <c r="A34" s="531">
        <v>15</v>
      </c>
      <c r="B34" s="532" t="s">
        <v>119</v>
      </c>
      <c r="C34" s="533" t="s">
        <v>262</v>
      </c>
      <c r="D34" s="534">
        <v>653</v>
      </c>
      <c r="E34" s="535" t="s">
        <v>263</v>
      </c>
      <c r="F34" s="533">
        <v>0</v>
      </c>
      <c r="G34" s="533" t="str">
        <f>CONCATENATE(D34,"*",F34)</f>
        <v>653*0</v>
      </c>
      <c r="H34" s="536">
        <f>ROUND(D34*F34,2)</f>
        <v>0</v>
      </c>
    </row>
    <row r="35" spans="1:11" s="538" customFormat="1" ht="63.75" customHeight="1" x14ac:dyDescent="0.25">
      <c r="A35" s="485">
        <v>17</v>
      </c>
      <c r="B35" s="486" t="s">
        <v>264</v>
      </c>
      <c r="C35" s="517" t="s">
        <v>265</v>
      </c>
      <c r="D35" s="516">
        <v>932</v>
      </c>
      <c r="E35" s="489" t="s">
        <v>266</v>
      </c>
      <c r="F35" s="517">
        <v>1</v>
      </c>
      <c r="G35" s="517" t="str">
        <f>CONCATENATE(D35,"*",F35)</f>
        <v>932*1</v>
      </c>
      <c r="H35" s="496">
        <f>ROUND(D35*F35,2)</f>
        <v>932</v>
      </c>
      <c r="I35" s="537"/>
    </row>
    <row r="36" spans="1:11" s="538" customFormat="1" ht="63" x14ac:dyDescent="0.25">
      <c r="A36" s="517">
        <v>16</v>
      </c>
      <c r="B36" s="486" t="s">
        <v>59</v>
      </c>
      <c r="C36" s="539">
        <v>0.38</v>
      </c>
      <c r="D36" s="516"/>
      <c r="E36" s="489" t="s">
        <v>267</v>
      </c>
      <c r="F36" s="517"/>
      <c r="G36" s="540" t="str">
        <f>CONCATENATE(H35,"*",C36)</f>
        <v>932*0,38</v>
      </c>
      <c r="H36" s="530">
        <f>ROUND(H35*C36,2)</f>
        <v>354.16</v>
      </c>
      <c r="I36" s="455"/>
    </row>
    <row r="37" spans="1:11" ht="84.75" customHeight="1" x14ac:dyDescent="0.25">
      <c r="A37" s="477">
        <v>17</v>
      </c>
      <c r="B37" s="486" t="s">
        <v>120</v>
      </c>
      <c r="C37" s="477" t="s">
        <v>121</v>
      </c>
      <c r="D37" s="475">
        <v>212</v>
      </c>
      <c r="E37" s="476" t="s">
        <v>268</v>
      </c>
      <c r="F37" s="541">
        <v>4</v>
      </c>
      <c r="G37" s="477" t="str">
        <f>CONCATENATE(D37,"*",F37)</f>
        <v>212*4</v>
      </c>
      <c r="H37" s="583">
        <f>ROUND(D37*F37,2)</f>
        <v>848</v>
      </c>
    </row>
    <row r="38" spans="1:11" ht="60.75" customHeight="1" x14ac:dyDescent="0.25">
      <c r="A38" s="477">
        <v>18</v>
      </c>
      <c r="B38" s="542" t="s">
        <v>60</v>
      </c>
      <c r="C38" s="504" t="s">
        <v>121</v>
      </c>
      <c r="D38" s="543">
        <v>850</v>
      </c>
      <c r="E38" s="544" t="s">
        <v>269</v>
      </c>
      <c r="F38" s="545">
        <f>F37</f>
        <v>4</v>
      </c>
      <c r="G38" s="504" t="str">
        <f>CONCATENATE(D38,"*",F38)</f>
        <v>850*4</v>
      </c>
      <c r="H38" s="583">
        <f>ROUND(D38*F38,2)</f>
        <v>3400</v>
      </c>
    </row>
    <row r="39" spans="1:11" s="538" customFormat="1" ht="45" customHeight="1" x14ac:dyDescent="0.25">
      <c r="A39" s="517">
        <v>19</v>
      </c>
      <c r="B39" s="542" t="s">
        <v>270</v>
      </c>
      <c r="C39" s="546">
        <v>0.4</v>
      </c>
      <c r="D39" s="547"/>
      <c r="E39" s="544" t="s">
        <v>271</v>
      </c>
      <c r="F39" s="548"/>
      <c r="G39" s="549" t="str">
        <f>CONCATENATE(H38,"*",C39)</f>
        <v>3400*0,4</v>
      </c>
      <c r="H39" s="584">
        <f>ROUND((H37+H38)*C39,2)</f>
        <v>1699.2</v>
      </c>
      <c r="I39" s="537"/>
    </row>
    <row r="40" spans="1:11" ht="24.75" customHeight="1" x14ac:dyDescent="0.25">
      <c r="A40" s="585"/>
      <c r="B40" s="550" t="s">
        <v>272</v>
      </c>
      <c r="C40" s="551"/>
      <c r="D40" s="552"/>
      <c r="E40" s="507"/>
      <c r="F40" s="551"/>
      <c r="G40" s="511"/>
      <c r="H40" s="583"/>
    </row>
    <row r="41" spans="1:11" s="538" customFormat="1" ht="63.75" customHeight="1" x14ac:dyDescent="0.25">
      <c r="A41" s="517">
        <v>20</v>
      </c>
      <c r="B41" s="486" t="s">
        <v>273</v>
      </c>
      <c r="C41" s="517" t="s">
        <v>274</v>
      </c>
      <c r="D41" s="553">
        <v>729</v>
      </c>
      <c r="E41" s="489" t="s">
        <v>275</v>
      </c>
      <c r="F41" s="554">
        <v>1</v>
      </c>
      <c r="G41" s="517" t="str">
        <f>CONCATENATE(D41,"*",F41)</f>
        <v>729*1</v>
      </c>
      <c r="H41" s="530">
        <f>ROUND(D41*F41,2)</f>
        <v>729</v>
      </c>
      <c r="I41" s="537"/>
    </row>
    <row r="42" spans="1:11" s="538" customFormat="1" ht="47.25" x14ac:dyDescent="0.25">
      <c r="A42" s="517">
        <v>21</v>
      </c>
      <c r="B42" s="542" t="s">
        <v>276</v>
      </c>
      <c r="C42" s="546">
        <v>0.25</v>
      </c>
      <c r="D42" s="547"/>
      <c r="E42" s="555" t="s">
        <v>277</v>
      </c>
      <c r="F42" s="548"/>
      <c r="G42" s="549" t="str">
        <f>CONCATENATE(H41,"*",C42)</f>
        <v>729*0,25</v>
      </c>
      <c r="H42" s="530">
        <f>ROUND(H41*C42,2)</f>
        <v>182.25</v>
      </c>
      <c r="I42" s="537"/>
    </row>
    <row r="43" spans="1:11" s="538" customFormat="1" ht="27.75" customHeight="1" x14ac:dyDescent="0.25">
      <c r="A43" s="586"/>
      <c r="B43" s="550" t="s">
        <v>278</v>
      </c>
      <c r="C43" s="556"/>
      <c r="D43" s="508"/>
      <c r="E43" s="509"/>
      <c r="F43" s="557"/>
      <c r="G43" s="558"/>
      <c r="H43" s="583"/>
      <c r="I43" s="537"/>
    </row>
    <row r="44" spans="1:11" s="538" customFormat="1" ht="27.75" customHeight="1" x14ac:dyDescent="0.25">
      <c r="A44" s="587"/>
      <c r="B44" s="559" t="s">
        <v>74</v>
      </c>
      <c r="C44" s="560"/>
      <c r="D44" s="561"/>
      <c r="E44" s="562"/>
      <c r="F44" s="563"/>
      <c r="G44" s="564"/>
      <c r="H44" s="588"/>
      <c r="I44" s="537" t="s">
        <v>279</v>
      </c>
    </row>
    <row r="45" spans="1:11" ht="47.25" customHeight="1" x14ac:dyDescent="0.25">
      <c r="A45" s="658">
        <v>22</v>
      </c>
      <c r="B45" s="660" t="s">
        <v>280</v>
      </c>
      <c r="C45" s="658" t="s">
        <v>281</v>
      </c>
      <c r="D45" s="662">
        <v>410</v>
      </c>
      <c r="E45" s="544" t="s">
        <v>282</v>
      </c>
      <c r="F45" s="504">
        <v>1</v>
      </c>
      <c r="G45" s="504" t="str">
        <f>CONCATENATE(D45,"*",F45,"*",F46)</f>
        <v>410*1*1,1</v>
      </c>
      <c r="H45" s="588">
        <f>ROUND(D45*F45*F46,2)</f>
        <v>451</v>
      </c>
      <c r="I45" s="581" t="s">
        <v>283</v>
      </c>
      <c r="J45" s="565" t="s">
        <v>284</v>
      </c>
      <c r="K45" s="565" t="s">
        <v>285</v>
      </c>
    </row>
    <row r="46" spans="1:11" ht="31.5" x14ac:dyDescent="0.25">
      <c r="A46" s="659"/>
      <c r="B46" s="661"/>
      <c r="C46" s="659"/>
      <c r="D46" s="663"/>
      <c r="E46" s="566" t="s">
        <v>286</v>
      </c>
      <c r="F46" s="514">
        <f>J46</f>
        <v>1.1000000000000001</v>
      </c>
      <c r="G46" s="514"/>
      <c r="H46" s="589"/>
      <c r="I46" s="582">
        <v>1</v>
      </c>
      <c r="J46" s="567">
        <v>1.1000000000000001</v>
      </c>
      <c r="K46" s="567">
        <v>1.2</v>
      </c>
    </row>
    <row r="47" spans="1:11" ht="54" hidden="1" customHeight="1" x14ac:dyDescent="0.25">
      <c r="A47" s="477">
        <v>20</v>
      </c>
      <c r="B47" s="486" t="s">
        <v>287</v>
      </c>
      <c r="C47" s="504" t="s">
        <v>288</v>
      </c>
      <c r="D47" s="568">
        <v>455</v>
      </c>
      <c r="E47" s="544" t="s">
        <v>289</v>
      </c>
      <c r="F47" s="504">
        <v>9</v>
      </c>
      <c r="G47" s="477" t="str">
        <f t="shared" ref="G47:G49" si="1">CONCATENATE(D47,"*",F47)</f>
        <v>455*9</v>
      </c>
      <c r="H47" s="583">
        <f>ROUND(D47*F47,2)*0</f>
        <v>0</v>
      </c>
    </row>
    <row r="48" spans="1:11" ht="47.25" x14ac:dyDescent="0.25">
      <c r="A48" s="477">
        <v>23</v>
      </c>
      <c r="B48" s="486" t="s">
        <v>290</v>
      </c>
      <c r="C48" s="504" t="s">
        <v>288</v>
      </c>
      <c r="D48" s="568">
        <v>410</v>
      </c>
      <c r="E48" s="544" t="s">
        <v>291</v>
      </c>
      <c r="F48" s="504">
        <v>1</v>
      </c>
      <c r="G48" s="477" t="str">
        <f t="shared" si="1"/>
        <v>410*1</v>
      </c>
      <c r="H48" s="583">
        <f t="shared" ref="H48:H49" si="2">ROUND(D48*F48,2)</f>
        <v>410</v>
      </c>
    </row>
    <row r="49" spans="1:11" ht="63" x14ac:dyDescent="0.25">
      <c r="A49" s="477">
        <v>24</v>
      </c>
      <c r="B49" s="486" t="s">
        <v>292</v>
      </c>
      <c r="C49" s="504" t="s">
        <v>288</v>
      </c>
      <c r="D49" s="568">
        <v>1860</v>
      </c>
      <c r="E49" s="544" t="s">
        <v>293</v>
      </c>
      <c r="F49" s="504">
        <v>9</v>
      </c>
      <c r="G49" s="477" t="str">
        <f t="shared" si="1"/>
        <v>1860*9</v>
      </c>
      <c r="H49" s="583">
        <f t="shared" si="2"/>
        <v>16740</v>
      </c>
    </row>
    <row r="50" spans="1:11" ht="42.75" customHeight="1" x14ac:dyDescent="0.25">
      <c r="A50" s="658">
        <v>25</v>
      </c>
      <c r="B50" s="660" t="s">
        <v>200</v>
      </c>
      <c r="C50" s="658" t="s">
        <v>281</v>
      </c>
      <c r="D50" s="662">
        <v>1648</v>
      </c>
      <c r="E50" s="544" t="s">
        <v>294</v>
      </c>
      <c r="F50" s="504">
        <v>1</v>
      </c>
      <c r="G50" s="504" t="str">
        <f>CONCATENATE(D50,"*",F50,"*",F51)</f>
        <v>1648*1*1,1</v>
      </c>
      <c r="H50" s="588">
        <f>ROUND(D50*F50*F51,2)</f>
        <v>1812.8</v>
      </c>
      <c r="I50" s="569"/>
      <c r="J50" s="570"/>
      <c r="K50" s="570"/>
    </row>
    <row r="51" spans="1:11" ht="31.5" x14ac:dyDescent="0.25">
      <c r="A51" s="659"/>
      <c r="B51" s="661"/>
      <c r="C51" s="659"/>
      <c r="D51" s="663"/>
      <c r="E51" s="566" t="s">
        <v>286</v>
      </c>
      <c r="F51" s="514">
        <f>F46</f>
        <v>1.1000000000000001</v>
      </c>
      <c r="G51" s="514"/>
      <c r="H51" s="589"/>
    </row>
    <row r="52" spans="1:11" ht="42.75" customHeight="1" x14ac:dyDescent="0.25">
      <c r="A52" s="658">
        <v>26</v>
      </c>
      <c r="B52" s="660" t="s">
        <v>295</v>
      </c>
      <c r="C52" s="658" t="s">
        <v>281</v>
      </c>
      <c r="D52" s="662">
        <v>1757</v>
      </c>
      <c r="E52" s="544" t="s">
        <v>296</v>
      </c>
      <c r="F52" s="504">
        <v>1</v>
      </c>
      <c r="G52" s="504" t="str">
        <f>CONCATENATE(D52,"*",F52,"*",F53)</f>
        <v>1757*1*1,1</v>
      </c>
      <c r="H52" s="588">
        <f>ROUND(D52*F52*F53,2)</f>
        <v>1932.7</v>
      </c>
      <c r="I52" s="569"/>
      <c r="J52" s="570"/>
      <c r="K52" s="570"/>
    </row>
    <row r="53" spans="1:11" ht="31.5" x14ac:dyDescent="0.25">
      <c r="A53" s="659"/>
      <c r="B53" s="661"/>
      <c r="C53" s="659"/>
      <c r="D53" s="663"/>
      <c r="E53" s="566" t="s">
        <v>286</v>
      </c>
      <c r="F53" s="514">
        <f>F46</f>
        <v>1.1000000000000001</v>
      </c>
      <c r="G53" s="514"/>
      <c r="H53" s="589"/>
    </row>
    <row r="54" spans="1:11" ht="42.75" customHeight="1" x14ac:dyDescent="0.25">
      <c r="A54" s="658">
        <v>27</v>
      </c>
      <c r="B54" s="660" t="s">
        <v>201</v>
      </c>
      <c r="C54" s="658" t="s">
        <v>281</v>
      </c>
      <c r="D54" s="662">
        <v>439</v>
      </c>
      <c r="E54" s="544" t="s">
        <v>297</v>
      </c>
      <c r="F54" s="504">
        <v>1</v>
      </c>
      <c r="G54" s="504" t="str">
        <f>CONCATENATE(D54,"*",F54,"*",F55)</f>
        <v>439*1*1,1</v>
      </c>
      <c r="H54" s="588">
        <f>ROUND(D54*F54*F55,2)</f>
        <v>482.9</v>
      </c>
      <c r="I54" s="569"/>
      <c r="J54" s="570"/>
      <c r="K54" s="570"/>
    </row>
    <row r="55" spans="1:11" ht="31.5" x14ac:dyDescent="0.25">
      <c r="A55" s="659"/>
      <c r="B55" s="661"/>
      <c r="C55" s="659"/>
      <c r="D55" s="663"/>
      <c r="E55" s="566" t="s">
        <v>286</v>
      </c>
      <c r="F55" s="514">
        <f>F46</f>
        <v>1.1000000000000001</v>
      </c>
      <c r="G55" s="514"/>
      <c r="H55" s="589"/>
    </row>
    <row r="56" spans="1:11" s="538" customFormat="1" ht="27.75" customHeight="1" x14ac:dyDescent="0.25">
      <c r="A56" s="587"/>
      <c r="B56" s="559" t="s">
        <v>298</v>
      </c>
      <c r="C56" s="560"/>
      <c r="D56" s="561"/>
      <c r="E56" s="562"/>
      <c r="F56" s="563"/>
      <c r="G56" s="564"/>
      <c r="H56" s="588"/>
      <c r="I56" s="537" t="s">
        <v>279</v>
      </c>
    </row>
    <row r="57" spans="1:11" ht="47.25" customHeight="1" x14ac:dyDescent="0.25">
      <c r="A57" s="658">
        <v>28</v>
      </c>
      <c r="B57" s="660" t="s">
        <v>280</v>
      </c>
      <c r="C57" s="658" t="s">
        <v>281</v>
      </c>
      <c r="D57" s="662">
        <v>410</v>
      </c>
      <c r="E57" s="544" t="s">
        <v>282</v>
      </c>
      <c r="F57" s="504">
        <v>1</v>
      </c>
      <c r="G57" s="504" t="str">
        <f>CONCATENATE(D57,"*",F57,"*",F58)</f>
        <v>410*1*1</v>
      </c>
      <c r="H57" s="588">
        <f>ROUND(D57*F57*F58,2)</f>
        <v>410</v>
      </c>
      <c r="I57" s="581" t="s">
        <v>283</v>
      </c>
      <c r="J57" s="565" t="s">
        <v>284</v>
      </c>
      <c r="K57" s="565" t="s">
        <v>285</v>
      </c>
    </row>
    <row r="58" spans="1:11" ht="31.5" x14ac:dyDescent="0.25">
      <c r="A58" s="659"/>
      <c r="B58" s="661"/>
      <c r="C58" s="659"/>
      <c r="D58" s="663"/>
      <c r="E58" s="566" t="s">
        <v>286</v>
      </c>
      <c r="F58" s="514">
        <f>I58</f>
        <v>1</v>
      </c>
      <c r="G58" s="514"/>
      <c r="H58" s="589"/>
      <c r="I58" s="582">
        <v>1</v>
      </c>
      <c r="J58" s="567">
        <v>1.1000000000000001</v>
      </c>
      <c r="K58" s="567">
        <v>1.2</v>
      </c>
    </row>
    <row r="59" spans="1:11" ht="54" hidden="1" customHeight="1" x14ac:dyDescent="0.25">
      <c r="A59" s="477">
        <v>20</v>
      </c>
      <c r="B59" s="486" t="s">
        <v>287</v>
      </c>
      <c r="C59" s="504" t="s">
        <v>288</v>
      </c>
      <c r="D59" s="568">
        <v>455</v>
      </c>
      <c r="E59" s="544" t="s">
        <v>289</v>
      </c>
      <c r="F59" s="504">
        <v>5</v>
      </c>
      <c r="G59" s="477" t="str">
        <f t="shared" ref="G59:G61" si="3">CONCATENATE(D59,"*",F59)</f>
        <v>455*5</v>
      </c>
      <c r="H59" s="583">
        <f>ROUND(D59*F59,2)*0</f>
        <v>0</v>
      </c>
    </row>
    <row r="60" spans="1:11" ht="47.25" x14ac:dyDescent="0.25">
      <c r="A60" s="477">
        <v>29</v>
      </c>
      <c r="B60" s="486" t="s">
        <v>290</v>
      </c>
      <c r="C60" s="504" t="s">
        <v>288</v>
      </c>
      <c r="D60" s="568">
        <v>410</v>
      </c>
      <c r="E60" s="544" t="s">
        <v>291</v>
      </c>
      <c r="F60" s="504">
        <v>1</v>
      </c>
      <c r="G60" s="477" t="str">
        <f t="shared" si="3"/>
        <v>410*1</v>
      </c>
      <c r="H60" s="583">
        <f t="shared" ref="H60:H61" si="4">ROUND(D60*F60,2)</f>
        <v>410</v>
      </c>
    </row>
    <row r="61" spans="1:11" ht="63" x14ac:dyDescent="0.25">
      <c r="A61" s="477">
        <v>30</v>
      </c>
      <c r="B61" s="486" t="s">
        <v>292</v>
      </c>
      <c r="C61" s="504" t="s">
        <v>288</v>
      </c>
      <c r="D61" s="568">
        <v>1860</v>
      </c>
      <c r="E61" s="544" t="s">
        <v>293</v>
      </c>
      <c r="F61" s="545">
        <v>3</v>
      </c>
      <c r="G61" s="477" t="str">
        <f t="shared" si="3"/>
        <v>1860*3</v>
      </c>
      <c r="H61" s="583">
        <f t="shared" si="4"/>
        <v>5580</v>
      </c>
    </row>
    <row r="62" spans="1:11" ht="42.75" hidden="1" customHeight="1" x14ac:dyDescent="0.25">
      <c r="A62" s="658">
        <v>31</v>
      </c>
      <c r="B62" s="660" t="s">
        <v>200</v>
      </c>
      <c r="C62" s="658" t="s">
        <v>281</v>
      </c>
      <c r="D62" s="662">
        <v>1648</v>
      </c>
      <c r="E62" s="544" t="s">
        <v>294</v>
      </c>
      <c r="F62" s="504">
        <v>1</v>
      </c>
      <c r="G62" s="504" t="str">
        <f>CONCATENATE(D62,"*",F62,"*",F63)</f>
        <v>1648*1*1</v>
      </c>
      <c r="H62" s="590">
        <f>ROUND(D62*F62*F63,2)*0</f>
        <v>0</v>
      </c>
      <c r="I62" s="569"/>
      <c r="J62" s="570"/>
      <c r="K62" s="570"/>
    </row>
    <row r="63" spans="1:11" ht="31.5" hidden="1" x14ac:dyDescent="0.25">
      <c r="A63" s="659"/>
      <c r="B63" s="661"/>
      <c r="C63" s="659"/>
      <c r="D63" s="663"/>
      <c r="E63" s="566" t="s">
        <v>286</v>
      </c>
      <c r="F63" s="514">
        <f>F58</f>
        <v>1</v>
      </c>
      <c r="G63" s="514"/>
      <c r="H63" s="591"/>
    </row>
    <row r="64" spans="1:11" ht="42.75" hidden="1" customHeight="1" x14ac:dyDescent="0.25">
      <c r="A64" s="658">
        <v>32</v>
      </c>
      <c r="B64" s="660" t="s">
        <v>295</v>
      </c>
      <c r="C64" s="658" t="s">
        <v>281</v>
      </c>
      <c r="D64" s="662">
        <v>1757</v>
      </c>
      <c r="E64" s="544" t="s">
        <v>296</v>
      </c>
      <c r="F64" s="504">
        <v>1</v>
      </c>
      <c r="G64" s="504" t="str">
        <f>CONCATENATE(D64,"*",F64,"*",F65)</f>
        <v>1757*1*1</v>
      </c>
      <c r="H64" s="590">
        <f>ROUND(D64*F64*F65,2)*0</f>
        <v>0</v>
      </c>
      <c r="I64" s="569"/>
      <c r="J64" s="570"/>
      <c r="K64" s="570"/>
    </row>
    <row r="65" spans="1:11" ht="31.5" hidden="1" x14ac:dyDescent="0.25">
      <c r="A65" s="659"/>
      <c r="B65" s="661"/>
      <c r="C65" s="659"/>
      <c r="D65" s="663"/>
      <c r="E65" s="566" t="s">
        <v>286</v>
      </c>
      <c r="F65" s="514">
        <f>F58</f>
        <v>1</v>
      </c>
      <c r="G65" s="514"/>
      <c r="H65" s="589"/>
    </row>
    <row r="66" spans="1:11" ht="39.75" hidden="1" customHeight="1" x14ac:dyDescent="0.25">
      <c r="A66" s="658">
        <v>33</v>
      </c>
      <c r="B66" s="660" t="s">
        <v>201</v>
      </c>
      <c r="C66" s="658" t="s">
        <v>281</v>
      </c>
      <c r="D66" s="662">
        <v>439</v>
      </c>
      <c r="E66" s="544" t="s">
        <v>297</v>
      </c>
      <c r="F66" s="504">
        <v>1</v>
      </c>
      <c r="G66" s="504" t="str">
        <f>CONCATENATE(D66,"*",F66,"*",F67)</f>
        <v>439*1*1</v>
      </c>
      <c r="H66" s="590">
        <f>ROUND(D66*F66*F67,2)*0</f>
        <v>0</v>
      </c>
      <c r="I66" s="569"/>
      <c r="J66" s="570"/>
      <c r="K66" s="570"/>
    </row>
    <row r="67" spans="1:11" ht="30" hidden="1" customHeight="1" x14ac:dyDescent="0.25">
      <c r="A67" s="659"/>
      <c r="B67" s="661"/>
      <c r="C67" s="659"/>
      <c r="D67" s="663"/>
      <c r="E67" s="566" t="s">
        <v>286</v>
      </c>
      <c r="F67" s="514">
        <f>F58</f>
        <v>1</v>
      </c>
      <c r="G67" s="514"/>
      <c r="H67" s="589"/>
    </row>
    <row r="68" spans="1:11" ht="27.75" customHeight="1" x14ac:dyDescent="0.25">
      <c r="A68" s="477"/>
      <c r="B68" s="571" t="s">
        <v>299</v>
      </c>
      <c r="C68" s="476"/>
      <c r="D68" s="475"/>
      <c r="E68" s="476"/>
      <c r="F68" s="477"/>
      <c r="G68" s="477"/>
      <c r="H68" s="592">
        <f>SUM(H17:H67)</f>
        <v>74078.009999999995</v>
      </c>
    </row>
    <row r="69" spans="1:11" ht="27.75" customHeight="1" x14ac:dyDescent="0.25">
      <c r="A69" s="477"/>
      <c r="B69" s="476" t="s">
        <v>61</v>
      </c>
      <c r="C69" s="572">
        <v>9.7000000000000003E-3</v>
      </c>
      <c r="D69" s="573"/>
      <c r="E69" s="476" t="s">
        <v>300</v>
      </c>
      <c r="F69" s="477"/>
      <c r="G69" s="574" t="str">
        <f>CONCATENATE(H68,"*",C69)</f>
        <v>74078,01*0,0097</v>
      </c>
      <c r="H69" s="530">
        <f>ROUND(H68*0.0097,2)</f>
        <v>718.56</v>
      </c>
    </row>
    <row r="70" spans="1:11" ht="27.75" customHeight="1" x14ac:dyDescent="0.25">
      <c r="A70" s="477"/>
      <c r="B70" s="571" t="s">
        <v>122</v>
      </c>
      <c r="C70" s="476"/>
      <c r="D70" s="475"/>
      <c r="E70" s="476"/>
      <c r="F70" s="477"/>
      <c r="G70" s="477" t="str">
        <f>CONCATENATE(H68," + ",H69)</f>
        <v>74078,01 + 718,56</v>
      </c>
      <c r="H70" s="592">
        <f>ROUND(H68+H69,2)</f>
        <v>74796.570000000007</v>
      </c>
    </row>
    <row r="71" spans="1:11" ht="27.75" customHeight="1" x14ac:dyDescent="0.25">
      <c r="A71" s="477"/>
      <c r="B71" s="476" t="s">
        <v>62</v>
      </c>
      <c r="C71" s="572">
        <v>1.11E-2</v>
      </c>
      <c r="D71" s="573"/>
      <c r="E71" s="476" t="s">
        <v>301</v>
      </c>
      <c r="F71" s="574"/>
      <c r="G71" s="574" t="str">
        <f>CONCATENATE(H70,"*",C71)</f>
        <v>74796,57*0,0111</v>
      </c>
      <c r="H71" s="530">
        <f>ROUND(H70*C71,2)</f>
        <v>830.24</v>
      </c>
    </row>
    <row r="72" spans="1:11" ht="27.75" customHeight="1" x14ac:dyDescent="0.25">
      <c r="A72" s="477"/>
      <c r="B72" s="476" t="s">
        <v>302</v>
      </c>
      <c r="C72" s="572">
        <v>2.5700000000000001E-2</v>
      </c>
      <c r="D72" s="573"/>
      <c r="E72" s="476" t="s">
        <v>303</v>
      </c>
      <c r="F72" s="574">
        <v>5</v>
      </c>
      <c r="G72" s="574" t="str">
        <f>CONCATENATE(H70,"*",C72,)</f>
        <v>74796,57*0,0257</v>
      </c>
      <c r="H72" s="530">
        <f>ROUND(H70*C72,2)</f>
        <v>1922.27</v>
      </c>
    </row>
    <row r="73" spans="1:11" s="580" customFormat="1" ht="43.5" customHeight="1" thickBot="1" x14ac:dyDescent="0.3">
      <c r="A73" s="575"/>
      <c r="B73" s="576" t="s">
        <v>63</v>
      </c>
      <c r="C73" s="576"/>
      <c r="D73" s="577"/>
      <c r="E73" s="576"/>
      <c r="F73" s="578"/>
      <c r="G73" s="578" t="str">
        <f>CONCATENATE(H70," + ",H71,"+",H72," + ",H16)</f>
        <v>74796,57 + 830,24+1922,27 + 2146</v>
      </c>
      <c r="H73" s="579">
        <f>ROUND(H70+H71+H72+H16,2)</f>
        <v>79695.08</v>
      </c>
      <c r="I73" s="455"/>
    </row>
  </sheetData>
  <mergeCells count="40">
    <mergeCell ref="F1:H1"/>
    <mergeCell ref="F2:H2"/>
    <mergeCell ref="A5:H5"/>
    <mergeCell ref="A8:H8"/>
    <mergeCell ref="A9:H9"/>
    <mergeCell ref="A10:H10"/>
    <mergeCell ref="A12:H12"/>
    <mergeCell ref="B13:C13"/>
    <mergeCell ref="A45:A46"/>
    <mergeCell ref="B45:B46"/>
    <mergeCell ref="C45:C46"/>
    <mergeCell ref="D45:D46"/>
    <mergeCell ref="A50:A51"/>
    <mergeCell ref="B50:B51"/>
    <mergeCell ref="C50:C51"/>
    <mergeCell ref="D50:D51"/>
    <mergeCell ref="A52:A53"/>
    <mergeCell ref="B52:B53"/>
    <mergeCell ref="C52:C53"/>
    <mergeCell ref="D52:D53"/>
    <mergeCell ref="A54:A55"/>
    <mergeCell ref="B54:B55"/>
    <mergeCell ref="C54:C55"/>
    <mergeCell ref="D54:D55"/>
    <mergeCell ref="A57:A58"/>
    <mergeCell ref="B57:B58"/>
    <mergeCell ref="C57:C58"/>
    <mergeCell ref="D57:D58"/>
    <mergeCell ref="A66:A67"/>
    <mergeCell ref="B66:B67"/>
    <mergeCell ref="C66:C67"/>
    <mergeCell ref="D66:D67"/>
    <mergeCell ref="A62:A63"/>
    <mergeCell ref="B62:B63"/>
    <mergeCell ref="C62:C63"/>
    <mergeCell ref="D62:D63"/>
    <mergeCell ref="A64:A65"/>
    <mergeCell ref="B64:B65"/>
    <mergeCell ref="C64:C65"/>
    <mergeCell ref="D64:D6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3"/>
  <sheetViews>
    <sheetView view="pageBreakPreview" zoomScale="90" zoomScaleNormal="100" zoomScaleSheetLayoutView="90" workbookViewId="0">
      <selection activeCell="F1" sqref="F1:F3"/>
    </sheetView>
  </sheetViews>
  <sheetFormatPr defaultRowHeight="12.75" x14ac:dyDescent="0.2"/>
  <cols>
    <col min="1" max="1" width="3.85546875" style="138" customWidth="1"/>
    <col min="2" max="2" width="23.7109375" style="138" customWidth="1"/>
    <col min="3" max="3" width="13.28515625" style="138" customWidth="1"/>
    <col min="4" max="4" width="11.7109375" style="139" customWidth="1"/>
    <col min="5" max="5" width="17.42578125" style="138" customWidth="1"/>
    <col min="6" max="6" width="7.140625" style="185" customWidth="1"/>
    <col min="7" max="7" width="16.85546875" style="138" customWidth="1"/>
    <col min="8" max="8" width="14.140625" style="139" customWidth="1"/>
    <col min="9" max="9" width="14.140625" style="138" customWidth="1"/>
    <col min="10" max="11" width="30.5703125" style="138" customWidth="1"/>
    <col min="12" max="16384" width="9.140625" style="138"/>
  </cols>
  <sheetData>
    <row r="1" spans="1:11" s="152" customFormat="1" x14ac:dyDescent="0.2">
      <c r="A1" s="150" t="s">
        <v>66</v>
      </c>
      <c r="B1" s="150"/>
      <c r="C1" s="151"/>
      <c r="E1" s="150"/>
      <c r="F1" s="153"/>
    </row>
    <row r="2" spans="1:11" s="152" customFormat="1" x14ac:dyDescent="0.2">
      <c r="A2" s="150"/>
      <c r="B2" s="150"/>
      <c r="C2" s="151"/>
      <c r="E2" s="154"/>
      <c r="F2" s="71"/>
    </row>
    <row r="3" spans="1:11" s="152" customFormat="1" x14ac:dyDescent="0.2">
      <c r="A3" s="150"/>
      <c r="B3" s="155"/>
      <c r="C3" s="151"/>
      <c r="E3" s="154"/>
      <c r="F3" s="71"/>
    </row>
    <row r="4" spans="1:11" x14ac:dyDescent="0.2">
      <c r="D4" s="156"/>
      <c r="F4" s="673"/>
      <c r="G4" s="673"/>
      <c r="H4" s="673"/>
    </row>
    <row r="5" spans="1:11" x14ac:dyDescent="0.2">
      <c r="D5" s="156"/>
      <c r="F5" s="300"/>
      <c r="G5" s="301"/>
      <c r="H5" s="157"/>
    </row>
    <row r="6" spans="1:11" x14ac:dyDescent="0.2">
      <c r="D6" s="156"/>
      <c r="F6" s="300"/>
      <c r="G6" s="301"/>
      <c r="H6" s="157"/>
    </row>
    <row r="7" spans="1:11" ht="14.25" x14ac:dyDescent="0.2">
      <c r="A7" s="652" t="s">
        <v>199</v>
      </c>
      <c r="B7" s="652"/>
      <c r="C7" s="652"/>
      <c r="D7" s="652"/>
      <c r="E7" s="652"/>
      <c r="F7" s="652"/>
      <c r="G7" s="652"/>
      <c r="H7" s="652"/>
    </row>
    <row r="8" spans="1:11" x14ac:dyDescent="0.2">
      <c r="A8" s="316"/>
      <c r="B8" s="316"/>
      <c r="C8" s="316"/>
      <c r="D8" s="316"/>
      <c r="E8" s="316"/>
      <c r="F8" s="316"/>
      <c r="G8" s="316"/>
      <c r="H8" s="316"/>
    </row>
    <row r="9" spans="1:11" ht="39" customHeight="1" x14ac:dyDescent="0.2">
      <c r="A9" s="674" t="str">
        <f>' ССР'!A7:D7</f>
        <v>на разработку проектной документации и рабочей документации на прокладку разводящей тепловой сети ПАО "МОЭК", расположенной по адресу: г. Москва, ул. Дмитрия Ульянова, д.43, корп.3, стр.1</v>
      </c>
      <c r="B9" s="675"/>
      <c r="C9" s="675"/>
      <c r="D9" s="675"/>
      <c r="E9" s="675"/>
      <c r="F9" s="675"/>
      <c r="G9" s="675"/>
      <c r="H9" s="675"/>
      <c r="J9" s="158" t="s">
        <v>135</v>
      </c>
      <c r="K9" s="158" t="s">
        <v>136</v>
      </c>
    </row>
    <row r="10" spans="1:11" x14ac:dyDescent="0.2">
      <c r="A10" s="159"/>
      <c r="B10" s="141"/>
      <c r="C10" s="141"/>
      <c r="D10" s="141"/>
      <c r="E10" s="141"/>
      <c r="F10" s="141"/>
      <c r="G10" s="141"/>
      <c r="H10" s="141"/>
    </row>
    <row r="11" spans="1:11" x14ac:dyDescent="0.2">
      <c r="A11" s="676" t="s">
        <v>99</v>
      </c>
      <c r="B11" s="676"/>
      <c r="C11" s="676"/>
      <c r="D11" s="676"/>
      <c r="E11" s="676"/>
      <c r="F11" s="676"/>
      <c r="G11" s="676"/>
      <c r="H11" s="676"/>
      <c r="J11" s="158" t="s">
        <v>137</v>
      </c>
      <c r="K11" s="158">
        <v>2500</v>
      </c>
    </row>
    <row r="12" spans="1:11" x14ac:dyDescent="0.2">
      <c r="A12" s="316"/>
      <c r="B12" s="316"/>
      <c r="C12" s="316"/>
      <c r="D12" s="316"/>
      <c r="E12" s="316"/>
      <c r="F12" s="316"/>
      <c r="G12" s="316"/>
      <c r="H12" s="316"/>
      <c r="J12" s="158" t="s">
        <v>138</v>
      </c>
      <c r="K12" s="158">
        <v>4500</v>
      </c>
    </row>
    <row r="13" spans="1:11" x14ac:dyDescent="0.2">
      <c r="A13" s="672" t="s">
        <v>78</v>
      </c>
      <c r="B13" s="672"/>
      <c r="C13" s="672"/>
      <c r="D13" s="672"/>
      <c r="E13" s="672"/>
      <c r="F13" s="672"/>
      <c r="G13" s="672"/>
      <c r="H13" s="672"/>
      <c r="J13" s="158" t="s">
        <v>139</v>
      </c>
      <c r="K13" s="158">
        <v>8000</v>
      </c>
    </row>
    <row r="14" spans="1:11" x14ac:dyDescent="0.2">
      <c r="A14" s="672" t="s">
        <v>153</v>
      </c>
      <c r="B14" s="672"/>
      <c r="C14" s="672"/>
      <c r="D14" s="672"/>
      <c r="E14" s="672"/>
      <c r="F14" s="672"/>
      <c r="G14" s="672"/>
      <c r="H14" s="672"/>
      <c r="J14" s="158" t="s">
        <v>140</v>
      </c>
      <c r="K14" s="158">
        <v>16500</v>
      </c>
    </row>
    <row r="15" spans="1:11" x14ac:dyDescent="0.2">
      <c r="A15" s="672" t="s">
        <v>79</v>
      </c>
      <c r="B15" s="672"/>
      <c r="C15" s="672"/>
      <c r="D15" s="672"/>
      <c r="E15" s="672"/>
      <c r="F15" s="672"/>
      <c r="G15" s="672"/>
      <c r="H15" s="672"/>
      <c r="J15" s="158" t="s">
        <v>142</v>
      </c>
      <c r="K15" s="158">
        <v>23000</v>
      </c>
    </row>
    <row r="16" spans="1:11" x14ac:dyDescent="0.2">
      <c r="A16" s="672" t="s">
        <v>141</v>
      </c>
      <c r="B16" s="672"/>
      <c r="C16" s="672"/>
      <c r="D16" s="672"/>
      <c r="E16" s="672"/>
      <c r="F16" s="672"/>
      <c r="G16" s="672"/>
      <c r="H16" s="672"/>
      <c r="J16" s="158" t="s">
        <v>143</v>
      </c>
      <c r="K16" s="158">
        <v>34000</v>
      </c>
    </row>
    <row r="17" spans="1:11" x14ac:dyDescent="0.2">
      <c r="A17" s="301"/>
      <c r="B17" s="301"/>
      <c r="C17" s="301"/>
      <c r="D17" s="301"/>
      <c r="E17" s="301"/>
      <c r="F17" s="301"/>
      <c r="G17" s="301"/>
      <c r="H17" s="301"/>
      <c r="J17" s="158" t="s">
        <v>144</v>
      </c>
      <c r="K17" s="158">
        <v>42000</v>
      </c>
    </row>
    <row r="18" spans="1:11" ht="25.5" x14ac:dyDescent="0.2">
      <c r="A18" s="246" t="s">
        <v>17</v>
      </c>
      <c r="B18" s="683" t="s">
        <v>3</v>
      </c>
      <c r="C18" s="683"/>
      <c r="D18" s="247" t="s">
        <v>9</v>
      </c>
      <c r="E18" s="302" t="s">
        <v>4</v>
      </c>
      <c r="F18" s="248" t="s">
        <v>5</v>
      </c>
      <c r="G18" s="302" t="s">
        <v>0</v>
      </c>
      <c r="H18" s="249" t="s">
        <v>6</v>
      </c>
      <c r="J18" s="158" t="s">
        <v>146</v>
      </c>
      <c r="K18" s="158">
        <v>55120</v>
      </c>
    </row>
    <row r="19" spans="1:11" ht="60.75" customHeight="1" x14ac:dyDescent="0.2">
      <c r="A19" s="250"/>
      <c r="B19" s="684" t="s">
        <v>145</v>
      </c>
      <c r="C19" s="684"/>
      <c r="D19" s="251">
        <f>Т.с.!H36</f>
        <v>159031</v>
      </c>
      <c r="E19" s="252"/>
      <c r="F19" s="253"/>
      <c r="G19" s="125" t="str">
        <f>CONCATENATE(D19,"*",0.4)</f>
        <v>159031*0,4</v>
      </c>
      <c r="H19" s="254">
        <f>ROUND(D19*0.4,2)</f>
        <v>63612.4</v>
      </c>
    </row>
    <row r="20" spans="1:11" ht="69" customHeight="1" x14ac:dyDescent="0.2">
      <c r="A20" s="255"/>
      <c r="B20" s="685" t="s">
        <v>147</v>
      </c>
      <c r="C20" s="685"/>
      <c r="D20" s="256">
        <v>4500</v>
      </c>
      <c r="E20" s="346" t="s">
        <v>212</v>
      </c>
      <c r="F20" s="258">
        <v>1</v>
      </c>
      <c r="G20" s="259" t="str">
        <f>CONCATENATE(D20,"*",F20)</f>
        <v>4500*1</v>
      </c>
      <c r="H20" s="391">
        <f>ROUND(D20*F20,0)</f>
        <v>4500</v>
      </c>
    </row>
    <row r="21" spans="1:11" ht="33.75" customHeight="1" x14ac:dyDescent="0.2">
      <c r="A21" s="255"/>
      <c r="B21" s="685" t="s">
        <v>41</v>
      </c>
      <c r="C21" s="685"/>
      <c r="D21" s="256"/>
      <c r="E21" s="257"/>
      <c r="F21" s="258"/>
      <c r="G21" s="259"/>
      <c r="H21" s="391">
        <f>H20</f>
        <v>4500</v>
      </c>
    </row>
    <row r="22" spans="1:11" x14ac:dyDescent="0.2">
      <c r="A22" s="301"/>
      <c r="B22" s="301"/>
      <c r="C22" s="301"/>
      <c r="D22" s="301"/>
      <c r="E22" s="301"/>
      <c r="F22" s="301"/>
      <c r="G22" s="301"/>
      <c r="H22" s="301"/>
    </row>
    <row r="23" spans="1:11" ht="115.5" hidden="1" thickBot="1" x14ac:dyDescent="0.25">
      <c r="A23" s="160"/>
      <c r="B23" s="677" t="s">
        <v>80</v>
      </c>
      <c r="C23" s="678"/>
      <c r="D23" s="679"/>
      <c r="E23" s="161" t="s">
        <v>154</v>
      </c>
      <c r="F23" s="162">
        <v>3.351</v>
      </c>
      <c r="G23" s="163" t="s">
        <v>84</v>
      </c>
      <c r="H23" s="164">
        <v>96508.800000000003</v>
      </c>
      <c r="J23" s="158" t="s">
        <v>148</v>
      </c>
      <c r="K23" s="158" t="s">
        <v>148</v>
      </c>
    </row>
    <row r="24" spans="1:11" ht="115.5" hidden="1" thickBot="1" x14ac:dyDescent="0.25">
      <c r="A24" s="165"/>
      <c r="B24" s="166" t="s">
        <v>64</v>
      </c>
      <c r="C24" s="167"/>
      <c r="D24" s="167"/>
      <c r="E24" s="167"/>
      <c r="F24" s="167"/>
      <c r="G24" s="167"/>
      <c r="H24" s="168">
        <v>96508.800000000003</v>
      </c>
      <c r="J24" s="158" t="s">
        <v>149</v>
      </c>
      <c r="K24" s="158" t="s">
        <v>149</v>
      </c>
    </row>
    <row r="25" spans="1:11" s="127" customFormat="1" ht="115.5" hidden="1" thickBot="1" x14ac:dyDescent="0.25">
      <c r="A25" s="169"/>
      <c r="B25" s="680" t="s">
        <v>65</v>
      </c>
      <c r="C25" s="681"/>
      <c r="D25" s="682"/>
      <c r="E25" s="170" t="s">
        <v>155</v>
      </c>
      <c r="F25" s="171">
        <v>1</v>
      </c>
      <c r="G25" s="172" t="s">
        <v>85</v>
      </c>
      <c r="H25" s="173">
        <v>96508.800000000003</v>
      </c>
      <c r="I25" s="174"/>
      <c r="J25" s="158" t="s">
        <v>150</v>
      </c>
      <c r="K25" s="158" t="s">
        <v>150</v>
      </c>
    </row>
    <row r="26" spans="1:11" ht="115.5" hidden="1" thickBot="1" x14ac:dyDescent="0.25">
      <c r="A26" s="175"/>
      <c r="B26" s="176" t="s">
        <v>1</v>
      </c>
      <c r="C26" s="177"/>
      <c r="D26" s="177"/>
      <c r="E26" s="178"/>
      <c r="F26" s="179">
        <v>0.18</v>
      </c>
      <c r="G26" s="172" t="s">
        <v>86</v>
      </c>
      <c r="H26" s="173">
        <v>17371.580000000002</v>
      </c>
      <c r="I26" s="180"/>
      <c r="J26" s="158" t="s">
        <v>151</v>
      </c>
      <c r="K26" s="158" t="s">
        <v>151</v>
      </c>
    </row>
    <row r="27" spans="1:11" ht="115.5" hidden="1" thickBot="1" x14ac:dyDescent="0.25">
      <c r="A27" s="181"/>
      <c r="B27" s="176" t="s">
        <v>19</v>
      </c>
      <c r="C27" s="177"/>
      <c r="D27" s="177"/>
      <c r="E27" s="177"/>
      <c r="F27" s="177"/>
      <c r="G27" s="182"/>
      <c r="H27" s="164">
        <v>113880.38</v>
      </c>
      <c r="I27" s="180"/>
      <c r="J27" s="158" t="s">
        <v>152</v>
      </c>
      <c r="K27" s="158" t="s">
        <v>152</v>
      </c>
    </row>
    <row r="28" spans="1:11" s="65" customFormat="1" x14ac:dyDescent="0.2">
      <c r="D28" s="67"/>
      <c r="F28" s="68"/>
      <c r="H28" s="78"/>
    </row>
    <row r="29" spans="1:11" s="65" customFormat="1" x14ac:dyDescent="0.2">
      <c r="D29" s="67"/>
      <c r="F29" s="68"/>
      <c r="H29" s="78"/>
      <c r="J29" s="183"/>
    </row>
    <row r="30" spans="1:11" s="65" customFormat="1" x14ac:dyDescent="0.2">
      <c r="D30" s="67"/>
      <c r="F30" s="68"/>
      <c r="H30" s="78"/>
      <c r="J30" s="183"/>
    </row>
    <row r="31" spans="1:11" x14ac:dyDescent="0.2">
      <c r="B31" s="184"/>
      <c r="C31" s="184"/>
      <c r="G31" s="139"/>
      <c r="I31" s="180"/>
      <c r="J31" s="183"/>
    </row>
    <row r="32" spans="1:11" x14ac:dyDescent="0.2">
      <c r="B32" s="184"/>
      <c r="C32" s="184"/>
      <c r="G32" s="139"/>
      <c r="I32" s="180"/>
      <c r="J32" s="183"/>
    </row>
    <row r="33" spans="10:10" x14ac:dyDescent="0.2">
      <c r="J33" s="183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tabSelected="1" view="pageBreakPreview" zoomScale="90" zoomScaleNormal="100" zoomScaleSheetLayoutView="90" workbookViewId="0">
      <selection activeCell="C14" sqref="C14"/>
    </sheetView>
  </sheetViews>
  <sheetFormatPr defaultRowHeight="12.75" x14ac:dyDescent="0.2"/>
  <cols>
    <col min="1" max="1" width="4.140625" style="267" customWidth="1"/>
    <col min="2" max="2" width="24.85546875" style="133" customWidth="1"/>
    <col min="3" max="3" width="12.5703125" style="133" customWidth="1"/>
    <col min="4" max="4" width="25.85546875" style="133" customWidth="1"/>
    <col min="5" max="5" width="9.42578125" style="133" customWidth="1"/>
    <col min="6" max="6" width="21.7109375" style="133" customWidth="1"/>
    <col min="7" max="7" width="12.5703125" style="133" customWidth="1"/>
    <col min="8" max="8" width="9.140625" style="133"/>
    <col min="9" max="11" width="11" style="133" customWidth="1"/>
    <col min="12" max="12" width="11" style="272" customWidth="1"/>
    <col min="13" max="13" width="11" style="133" customWidth="1"/>
    <col min="14" max="14" width="10.28515625" style="133" customWidth="1"/>
    <col min="15" max="250" width="9.140625" style="133"/>
    <col min="251" max="251" width="4.140625" style="133" customWidth="1"/>
    <col min="252" max="252" width="29" style="133" customWidth="1"/>
    <col min="253" max="253" width="15.85546875" style="133" customWidth="1"/>
    <col min="254" max="254" width="25.85546875" style="133" customWidth="1"/>
    <col min="255" max="255" width="9.42578125" style="133" customWidth="1"/>
    <col min="256" max="256" width="18.28515625" style="133" customWidth="1"/>
    <col min="257" max="257" width="16.28515625" style="133" customWidth="1"/>
    <col min="258" max="258" width="10.7109375" style="133" customWidth="1"/>
    <col min="259" max="261" width="0" style="133" hidden="1" customWidth="1"/>
    <col min="262" max="262" width="16.7109375" style="133" customWidth="1"/>
    <col min="263" max="263" width="11.42578125" style="133" customWidth="1"/>
    <col min="264" max="506" width="9.140625" style="133"/>
    <col min="507" max="507" width="4.140625" style="133" customWidth="1"/>
    <col min="508" max="508" width="29" style="133" customWidth="1"/>
    <col min="509" max="509" width="15.85546875" style="133" customWidth="1"/>
    <col min="510" max="510" width="25.85546875" style="133" customWidth="1"/>
    <col min="511" max="511" width="9.42578125" style="133" customWidth="1"/>
    <col min="512" max="512" width="18.28515625" style="133" customWidth="1"/>
    <col min="513" max="513" width="16.28515625" style="133" customWidth="1"/>
    <col min="514" max="514" width="10.7109375" style="133" customWidth="1"/>
    <col min="515" max="517" width="0" style="133" hidden="1" customWidth="1"/>
    <col min="518" max="518" width="16.7109375" style="133" customWidth="1"/>
    <col min="519" max="519" width="11.42578125" style="133" customWidth="1"/>
    <col min="520" max="762" width="9.140625" style="133"/>
    <col min="763" max="763" width="4.140625" style="133" customWidth="1"/>
    <col min="764" max="764" width="29" style="133" customWidth="1"/>
    <col min="765" max="765" width="15.85546875" style="133" customWidth="1"/>
    <col min="766" max="766" width="25.85546875" style="133" customWidth="1"/>
    <col min="767" max="767" width="9.42578125" style="133" customWidth="1"/>
    <col min="768" max="768" width="18.28515625" style="133" customWidth="1"/>
    <col min="769" max="769" width="16.28515625" style="133" customWidth="1"/>
    <col min="770" max="770" width="10.7109375" style="133" customWidth="1"/>
    <col min="771" max="773" width="0" style="133" hidden="1" customWidth="1"/>
    <col min="774" max="774" width="16.7109375" style="133" customWidth="1"/>
    <col min="775" max="775" width="11.42578125" style="133" customWidth="1"/>
    <col min="776" max="1018" width="9.140625" style="133"/>
    <col min="1019" max="1019" width="4.140625" style="133" customWidth="1"/>
    <col min="1020" max="1020" width="29" style="133" customWidth="1"/>
    <col min="1021" max="1021" width="15.85546875" style="133" customWidth="1"/>
    <col min="1022" max="1022" width="25.85546875" style="133" customWidth="1"/>
    <col min="1023" max="1023" width="9.42578125" style="133" customWidth="1"/>
    <col min="1024" max="1024" width="18.28515625" style="133" customWidth="1"/>
    <col min="1025" max="1025" width="16.28515625" style="133" customWidth="1"/>
    <col min="1026" max="1026" width="10.7109375" style="133" customWidth="1"/>
    <col min="1027" max="1029" width="0" style="133" hidden="1" customWidth="1"/>
    <col min="1030" max="1030" width="16.7109375" style="133" customWidth="1"/>
    <col min="1031" max="1031" width="11.42578125" style="133" customWidth="1"/>
    <col min="1032" max="1274" width="9.140625" style="133"/>
    <col min="1275" max="1275" width="4.140625" style="133" customWidth="1"/>
    <col min="1276" max="1276" width="29" style="133" customWidth="1"/>
    <col min="1277" max="1277" width="15.85546875" style="133" customWidth="1"/>
    <col min="1278" max="1278" width="25.85546875" style="133" customWidth="1"/>
    <col min="1279" max="1279" width="9.42578125" style="133" customWidth="1"/>
    <col min="1280" max="1280" width="18.28515625" style="133" customWidth="1"/>
    <col min="1281" max="1281" width="16.28515625" style="133" customWidth="1"/>
    <col min="1282" max="1282" width="10.7109375" style="133" customWidth="1"/>
    <col min="1283" max="1285" width="0" style="133" hidden="1" customWidth="1"/>
    <col min="1286" max="1286" width="16.7109375" style="133" customWidth="1"/>
    <col min="1287" max="1287" width="11.42578125" style="133" customWidth="1"/>
    <col min="1288" max="1530" width="9.140625" style="133"/>
    <col min="1531" max="1531" width="4.140625" style="133" customWidth="1"/>
    <col min="1532" max="1532" width="29" style="133" customWidth="1"/>
    <col min="1533" max="1533" width="15.85546875" style="133" customWidth="1"/>
    <col min="1534" max="1534" width="25.85546875" style="133" customWidth="1"/>
    <col min="1535" max="1535" width="9.42578125" style="133" customWidth="1"/>
    <col min="1536" max="1536" width="18.28515625" style="133" customWidth="1"/>
    <col min="1537" max="1537" width="16.28515625" style="133" customWidth="1"/>
    <col min="1538" max="1538" width="10.7109375" style="133" customWidth="1"/>
    <col min="1539" max="1541" width="0" style="133" hidden="1" customWidth="1"/>
    <col min="1542" max="1542" width="16.7109375" style="133" customWidth="1"/>
    <col min="1543" max="1543" width="11.42578125" style="133" customWidth="1"/>
    <col min="1544" max="1786" width="9.140625" style="133"/>
    <col min="1787" max="1787" width="4.140625" style="133" customWidth="1"/>
    <col min="1788" max="1788" width="29" style="133" customWidth="1"/>
    <col min="1789" max="1789" width="15.85546875" style="133" customWidth="1"/>
    <col min="1790" max="1790" width="25.85546875" style="133" customWidth="1"/>
    <col min="1791" max="1791" width="9.42578125" style="133" customWidth="1"/>
    <col min="1792" max="1792" width="18.28515625" style="133" customWidth="1"/>
    <col min="1793" max="1793" width="16.28515625" style="133" customWidth="1"/>
    <col min="1794" max="1794" width="10.7109375" style="133" customWidth="1"/>
    <col min="1795" max="1797" width="0" style="133" hidden="1" customWidth="1"/>
    <col min="1798" max="1798" width="16.7109375" style="133" customWidth="1"/>
    <col min="1799" max="1799" width="11.42578125" style="133" customWidth="1"/>
    <col min="1800" max="2042" width="9.140625" style="133"/>
    <col min="2043" max="2043" width="4.140625" style="133" customWidth="1"/>
    <col min="2044" max="2044" width="29" style="133" customWidth="1"/>
    <col min="2045" max="2045" width="15.85546875" style="133" customWidth="1"/>
    <col min="2046" max="2046" width="25.85546875" style="133" customWidth="1"/>
    <col min="2047" max="2047" width="9.42578125" style="133" customWidth="1"/>
    <col min="2048" max="2048" width="18.28515625" style="133" customWidth="1"/>
    <col min="2049" max="2049" width="16.28515625" style="133" customWidth="1"/>
    <col min="2050" max="2050" width="10.7109375" style="133" customWidth="1"/>
    <col min="2051" max="2053" width="0" style="133" hidden="1" customWidth="1"/>
    <col min="2054" max="2054" width="16.7109375" style="133" customWidth="1"/>
    <col min="2055" max="2055" width="11.42578125" style="133" customWidth="1"/>
    <col min="2056" max="2298" width="9.140625" style="133"/>
    <col min="2299" max="2299" width="4.140625" style="133" customWidth="1"/>
    <col min="2300" max="2300" width="29" style="133" customWidth="1"/>
    <col min="2301" max="2301" width="15.85546875" style="133" customWidth="1"/>
    <col min="2302" max="2302" width="25.85546875" style="133" customWidth="1"/>
    <col min="2303" max="2303" width="9.42578125" style="133" customWidth="1"/>
    <col min="2304" max="2304" width="18.28515625" style="133" customWidth="1"/>
    <col min="2305" max="2305" width="16.28515625" style="133" customWidth="1"/>
    <col min="2306" max="2306" width="10.7109375" style="133" customWidth="1"/>
    <col min="2307" max="2309" width="0" style="133" hidden="1" customWidth="1"/>
    <col min="2310" max="2310" width="16.7109375" style="133" customWidth="1"/>
    <col min="2311" max="2311" width="11.42578125" style="133" customWidth="1"/>
    <col min="2312" max="2554" width="9.140625" style="133"/>
    <col min="2555" max="2555" width="4.140625" style="133" customWidth="1"/>
    <col min="2556" max="2556" width="29" style="133" customWidth="1"/>
    <col min="2557" max="2557" width="15.85546875" style="133" customWidth="1"/>
    <col min="2558" max="2558" width="25.85546875" style="133" customWidth="1"/>
    <col min="2559" max="2559" width="9.42578125" style="133" customWidth="1"/>
    <col min="2560" max="2560" width="18.28515625" style="133" customWidth="1"/>
    <col min="2561" max="2561" width="16.28515625" style="133" customWidth="1"/>
    <col min="2562" max="2562" width="10.7109375" style="133" customWidth="1"/>
    <col min="2563" max="2565" width="0" style="133" hidden="1" customWidth="1"/>
    <col min="2566" max="2566" width="16.7109375" style="133" customWidth="1"/>
    <col min="2567" max="2567" width="11.42578125" style="133" customWidth="1"/>
    <col min="2568" max="2810" width="9.140625" style="133"/>
    <col min="2811" max="2811" width="4.140625" style="133" customWidth="1"/>
    <col min="2812" max="2812" width="29" style="133" customWidth="1"/>
    <col min="2813" max="2813" width="15.85546875" style="133" customWidth="1"/>
    <col min="2814" max="2814" width="25.85546875" style="133" customWidth="1"/>
    <col min="2815" max="2815" width="9.42578125" style="133" customWidth="1"/>
    <col min="2816" max="2816" width="18.28515625" style="133" customWidth="1"/>
    <col min="2817" max="2817" width="16.28515625" style="133" customWidth="1"/>
    <col min="2818" max="2818" width="10.7109375" style="133" customWidth="1"/>
    <col min="2819" max="2821" width="0" style="133" hidden="1" customWidth="1"/>
    <col min="2822" max="2822" width="16.7109375" style="133" customWidth="1"/>
    <col min="2823" max="2823" width="11.42578125" style="133" customWidth="1"/>
    <col min="2824" max="3066" width="9.140625" style="133"/>
    <col min="3067" max="3067" width="4.140625" style="133" customWidth="1"/>
    <col min="3068" max="3068" width="29" style="133" customWidth="1"/>
    <col min="3069" max="3069" width="15.85546875" style="133" customWidth="1"/>
    <col min="3070" max="3070" width="25.85546875" style="133" customWidth="1"/>
    <col min="3071" max="3071" width="9.42578125" style="133" customWidth="1"/>
    <col min="3072" max="3072" width="18.28515625" style="133" customWidth="1"/>
    <col min="3073" max="3073" width="16.28515625" style="133" customWidth="1"/>
    <col min="3074" max="3074" width="10.7109375" style="133" customWidth="1"/>
    <col min="3075" max="3077" width="0" style="133" hidden="1" customWidth="1"/>
    <col min="3078" max="3078" width="16.7109375" style="133" customWidth="1"/>
    <col min="3079" max="3079" width="11.42578125" style="133" customWidth="1"/>
    <col min="3080" max="3322" width="9.140625" style="133"/>
    <col min="3323" max="3323" width="4.140625" style="133" customWidth="1"/>
    <col min="3324" max="3324" width="29" style="133" customWidth="1"/>
    <col min="3325" max="3325" width="15.85546875" style="133" customWidth="1"/>
    <col min="3326" max="3326" width="25.85546875" style="133" customWidth="1"/>
    <col min="3327" max="3327" width="9.42578125" style="133" customWidth="1"/>
    <col min="3328" max="3328" width="18.28515625" style="133" customWidth="1"/>
    <col min="3329" max="3329" width="16.28515625" style="133" customWidth="1"/>
    <col min="3330" max="3330" width="10.7109375" style="133" customWidth="1"/>
    <col min="3331" max="3333" width="0" style="133" hidden="1" customWidth="1"/>
    <col min="3334" max="3334" width="16.7109375" style="133" customWidth="1"/>
    <col min="3335" max="3335" width="11.42578125" style="133" customWidth="1"/>
    <col min="3336" max="3578" width="9.140625" style="133"/>
    <col min="3579" max="3579" width="4.140625" style="133" customWidth="1"/>
    <col min="3580" max="3580" width="29" style="133" customWidth="1"/>
    <col min="3581" max="3581" width="15.85546875" style="133" customWidth="1"/>
    <col min="3582" max="3582" width="25.85546875" style="133" customWidth="1"/>
    <col min="3583" max="3583" width="9.42578125" style="133" customWidth="1"/>
    <col min="3584" max="3584" width="18.28515625" style="133" customWidth="1"/>
    <col min="3585" max="3585" width="16.28515625" style="133" customWidth="1"/>
    <col min="3586" max="3586" width="10.7109375" style="133" customWidth="1"/>
    <col min="3587" max="3589" width="0" style="133" hidden="1" customWidth="1"/>
    <col min="3590" max="3590" width="16.7109375" style="133" customWidth="1"/>
    <col min="3591" max="3591" width="11.42578125" style="133" customWidth="1"/>
    <col min="3592" max="3834" width="9.140625" style="133"/>
    <col min="3835" max="3835" width="4.140625" style="133" customWidth="1"/>
    <col min="3836" max="3836" width="29" style="133" customWidth="1"/>
    <col min="3837" max="3837" width="15.85546875" style="133" customWidth="1"/>
    <col min="3838" max="3838" width="25.85546875" style="133" customWidth="1"/>
    <col min="3839" max="3839" width="9.42578125" style="133" customWidth="1"/>
    <col min="3840" max="3840" width="18.28515625" style="133" customWidth="1"/>
    <col min="3841" max="3841" width="16.28515625" style="133" customWidth="1"/>
    <col min="3842" max="3842" width="10.7109375" style="133" customWidth="1"/>
    <col min="3843" max="3845" width="0" style="133" hidden="1" customWidth="1"/>
    <col min="3846" max="3846" width="16.7109375" style="133" customWidth="1"/>
    <col min="3847" max="3847" width="11.42578125" style="133" customWidth="1"/>
    <col min="3848" max="4090" width="9.140625" style="133"/>
    <col min="4091" max="4091" width="4.140625" style="133" customWidth="1"/>
    <col min="4092" max="4092" width="29" style="133" customWidth="1"/>
    <col min="4093" max="4093" width="15.85546875" style="133" customWidth="1"/>
    <col min="4094" max="4094" width="25.85546875" style="133" customWidth="1"/>
    <col min="4095" max="4095" width="9.42578125" style="133" customWidth="1"/>
    <col min="4096" max="4096" width="18.28515625" style="133" customWidth="1"/>
    <col min="4097" max="4097" width="16.28515625" style="133" customWidth="1"/>
    <col min="4098" max="4098" width="10.7109375" style="133" customWidth="1"/>
    <col min="4099" max="4101" width="0" style="133" hidden="1" customWidth="1"/>
    <col min="4102" max="4102" width="16.7109375" style="133" customWidth="1"/>
    <col min="4103" max="4103" width="11.42578125" style="133" customWidth="1"/>
    <col min="4104" max="4346" width="9.140625" style="133"/>
    <col min="4347" max="4347" width="4.140625" style="133" customWidth="1"/>
    <col min="4348" max="4348" width="29" style="133" customWidth="1"/>
    <col min="4349" max="4349" width="15.85546875" style="133" customWidth="1"/>
    <col min="4350" max="4350" width="25.85546875" style="133" customWidth="1"/>
    <col min="4351" max="4351" width="9.42578125" style="133" customWidth="1"/>
    <col min="4352" max="4352" width="18.28515625" style="133" customWidth="1"/>
    <col min="4353" max="4353" width="16.28515625" style="133" customWidth="1"/>
    <col min="4354" max="4354" width="10.7109375" style="133" customWidth="1"/>
    <col min="4355" max="4357" width="0" style="133" hidden="1" customWidth="1"/>
    <col min="4358" max="4358" width="16.7109375" style="133" customWidth="1"/>
    <col min="4359" max="4359" width="11.42578125" style="133" customWidth="1"/>
    <col min="4360" max="4602" width="9.140625" style="133"/>
    <col min="4603" max="4603" width="4.140625" style="133" customWidth="1"/>
    <col min="4604" max="4604" width="29" style="133" customWidth="1"/>
    <col min="4605" max="4605" width="15.85546875" style="133" customWidth="1"/>
    <col min="4606" max="4606" width="25.85546875" style="133" customWidth="1"/>
    <col min="4607" max="4607" width="9.42578125" style="133" customWidth="1"/>
    <col min="4608" max="4608" width="18.28515625" style="133" customWidth="1"/>
    <col min="4609" max="4609" width="16.28515625" style="133" customWidth="1"/>
    <col min="4610" max="4610" width="10.7109375" style="133" customWidth="1"/>
    <col min="4611" max="4613" width="0" style="133" hidden="1" customWidth="1"/>
    <col min="4614" max="4614" width="16.7109375" style="133" customWidth="1"/>
    <col min="4615" max="4615" width="11.42578125" style="133" customWidth="1"/>
    <col min="4616" max="4858" width="9.140625" style="133"/>
    <col min="4859" max="4859" width="4.140625" style="133" customWidth="1"/>
    <col min="4860" max="4860" width="29" style="133" customWidth="1"/>
    <col min="4861" max="4861" width="15.85546875" style="133" customWidth="1"/>
    <col min="4862" max="4862" width="25.85546875" style="133" customWidth="1"/>
    <col min="4863" max="4863" width="9.42578125" style="133" customWidth="1"/>
    <col min="4864" max="4864" width="18.28515625" style="133" customWidth="1"/>
    <col min="4865" max="4865" width="16.28515625" style="133" customWidth="1"/>
    <col min="4866" max="4866" width="10.7109375" style="133" customWidth="1"/>
    <col min="4867" max="4869" width="0" style="133" hidden="1" customWidth="1"/>
    <col min="4870" max="4870" width="16.7109375" style="133" customWidth="1"/>
    <col min="4871" max="4871" width="11.42578125" style="133" customWidth="1"/>
    <col min="4872" max="5114" width="9.140625" style="133"/>
    <col min="5115" max="5115" width="4.140625" style="133" customWidth="1"/>
    <col min="5116" max="5116" width="29" style="133" customWidth="1"/>
    <col min="5117" max="5117" width="15.85546875" style="133" customWidth="1"/>
    <col min="5118" max="5118" width="25.85546875" style="133" customWidth="1"/>
    <col min="5119" max="5119" width="9.42578125" style="133" customWidth="1"/>
    <col min="5120" max="5120" width="18.28515625" style="133" customWidth="1"/>
    <col min="5121" max="5121" width="16.28515625" style="133" customWidth="1"/>
    <col min="5122" max="5122" width="10.7109375" style="133" customWidth="1"/>
    <col min="5123" max="5125" width="0" style="133" hidden="1" customWidth="1"/>
    <col min="5126" max="5126" width="16.7109375" style="133" customWidth="1"/>
    <col min="5127" max="5127" width="11.42578125" style="133" customWidth="1"/>
    <col min="5128" max="5370" width="9.140625" style="133"/>
    <col min="5371" max="5371" width="4.140625" style="133" customWidth="1"/>
    <col min="5372" max="5372" width="29" style="133" customWidth="1"/>
    <col min="5373" max="5373" width="15.85546875" style="133" customWidth="1"/>
    <col min="5374" max="5374" width="25.85546875" style="133" customWidth="1"/>
    <col min="5375" max="5375" width="9.42578125" style="133" customWidth="1"/>
    <col min="5376" max="5376" width="18.28515625" style="133" customWidth="1"/>
    <col min="5377" max="5377" width="16.28515625" style="133" customWidth="1"/>
    <col min="5378" max="5378" width="10.7109375" style="133" customWidth="1"/>
    <col min="5379" max="5381" width="0" style="133" hidden="1" customWidth="1"/>
    <col min="5382" max="5382" width="16.7109375" style="133" customWidth="1"/>
    <col min="5383" max="5383" width="11.42578125" style="133" customWidth="1"/>
    <col min="5384" max="5626" width="9.140625" style="133"/>
    <col min="5627" max="5627" width="4.140625" style="133" customWidth="1"/>
    <col min="5628" max="5628" width="29" style="133" customWidth="1"/>
    <col min="5629" max="5629" width="15.85546875" style="133" customWidth="1"/>
    <col min="5630" max="5630" width="25.85546875" style="133" customWidth="1"/>
    <col min="5631" max="5631" width="9.42578125" style="133" customWidth="1"/>
    <col min="5632" max="5632" width="18.28515625" style="133" customWidth="1"/>
    <col min="5633" max="5633" width="16.28515625" style="133" customWidth="1"/>
    <col min="5634" max="5634" width="10.7109375" style="133" customWidth="1"/>
    <col min="5635" max="5637" width="0" style="133" hidden="1" customWidth="1"/>
    <col min="5638" max="5638" width="16.7109375" style="133" customWidth="1"/>
    <col min="5639" max="5639" width="11.42578125" style="133" customWidth="1"/>
    <col min="5640" max="5882" width="9.140625" style="133"/>
    <col min="5883" max="5883" width="4.140625" style="133" customWidth="1"/>
    <col min="5884" max="5884" width="29" style="133" customWidth="1"/>
    <col min="5885" max="5885" width="15.85546875" style="133" customWidth="1"/>
    <col min="5886" max="5886" width="25.85546875" style="133" customWidth="1"/>
    <col min="5887" max="5887" width="9.42578125" style="133" customWidth="1"/>
    <col min="5888" max="5888" width="18.28515625" style="133" customWidth="1"/>
    <col min="5889" max="5889" width="16.28515625" style="133" customWidth="1"/>
    <col min="5890" max="5890" width="10.7109375" style="133" customWidth="1"/>
    <col min="5891" max="5893" width="0" style="133" hidden="1" customWidth="1"/>
    <col min="5894" max="5894" width="16.7109375" style="133" customWidth="1"/>
    <col min="5895" max="5895" width="11.42578125" style="133" customWidth="1"/>
    <col min="5896" max="6138" width="9.140625" style="133"/>
    <col min="6139" max="6139" width="4.140625" style="133" customWidth="1"/>
    <col min="6140" max="6140" width="29" style="133" customWidth="1"/>
    <col min="6141" max="6141" width="15.85546875" style="133" customWidth="1"/>
    <col min="6142" max="6142" width="25.85546875" style="133" customWidth="1"/>
    <col min="6143" max="6143" width="9.42578125" style="133" customWidth="1"/>
    <col min="6144" max="6144" width="18.28515625" style="133" customWidth="1"/>
    <col min="6145" max="6145" width="16.28515625" style="133" customWidth="1"/>
    <col min="6146" max="6146" width="10.7109375" style="133" customWidth="1"/>
    <col min="6147" max="6149" width="0" style="133" hidden="1" customWidth="1"/>
    <col min="6150" max="6150" width="16.7109375" style="133" customWidth="1"/>
    <col min="6151" max="6151" width="11.42578125" style="133" customWidth="1"/>
    <col min="6152" max="6394" width="9.140625" style="133"/>
    <col min="6395" max="6395" width="4.140625" style="133" customWidth="1"/>
    <col min="6396" max="6396" width="29" style="133" customWidth="1"/>
    <col min="6397" max="6397" width="15.85546875" style="133" customWidth="1"/>
    <col min="6398" max="6398" width="25.85546875" style="133" customWidth="1"/>
    <col min="6399" max="6399" width="9.42578125" style="133" customWidth="1"/>
    <col min="6400" max="6400" width="18.28515625" style="133" customWidth="1"/>
    <col min="6401" max="6401" width="16.28515625" style="133" customWidth="1"/>
    <col min="6402" max="6402" width="10.7109375" style="133" customWidth="1"/>
    <col min="6403" max="6405" width="0" style="133" hidden="1" customWidth="1"/>
    <col min="6406" max="6406" width="16.7109375" style="133" customWidth="1"/>
    <col min="6407" max="6407" width="11.42578125" style="133" customWidth="1"/>
    <col min="6408" max="6650" width="9.140625" style="133"/>
    <col min="6651" max="6651" width="4.140625" style="133" customWidth="1"/>
    <col min="6652" max="6652" width="29" style="133" customWidth="1"/>
    <col min="6653" max="6653" width="15.85546875" style="133" customWidth="1"/>
    <col min="6654" max="6654" width="25.85546875" style="133" customWidth="1"/>
    <col min="6655" max="6655" width="9.42578125" style="133" customWidth="1"/>
    <col min="6656" max="6656" width="18.28515625" style="133" customWidth="1"/>
    <col min="6657" max="6657" width="16.28515625" style="133" customWidth="1"/>
    <col min="6658" max="6658" width="10.7109375" style="133" customWidth="1"/>
    <col min="6659" max="6661" width="0" style="133" hidden="1" customWidth="1"/>
    <col min="6662" max="6662" width="16.7109375" style="133" customWidth="1"/>
    <col min="6663" max="6663" width="11.42578125" style="133" customWidth="1"/>
    <col min="6664" max="6906" width="9.140625" style="133"/>
    <col min="6907" max="6907" width="4.140625" style="133" customWidth="1"/>
    <col min="6908" max="6908" width="29" style="133" customWidth="1"/>
    <col min="6909" max="6909" width="15.85546875" style="133" customWidth="1"/>
    <col min="6910" max="6910" width="25.85546875" style="133" customWidth="1"/>
    <col min="6911" max="6911" width="9.42578125" style="133" customWidth="1"/>
    <col min="6912" max="6912" width="18.28515625" style="133" customWidth="1"/>
    <col min="6913" max="6913" width="16.28515625" style="133" customWidth="1"/>
    <col min="6914" max="6914" width="10.7109375" style="133" customWidth="1"/>
    <col min="6915" max="6917" width="0" style="133" hidden="1" customWidth="1"/>
    <col min="6918" max="6918" width="16.7109375" style="133" customWidth="1"/>
    <col min="6919" max="6919" width="11.42578125" style="133" customWidth="1"/>
    <col min="6920" max="7162" width="9.140625" style="133"/>
    <col min="7163" max="7163" width="4.140625" style="133" customWidth="1"/>
    <col min="7164" max="7164" width="29" style="133" customWidth="1"/>
    <col min="7165" max="7165" width="15.85546875" style="133" customWidth="1"/>
    <col min="7166" max="7166" width="25.85546875" style="133" customWidth="1"/>
    <col min="7167" max="7167" width="9.42578125" style="133" customWidth="1"/>
    <col min="7168" max="7168" width="18.28515625" style="133" customWidth="1"/>
    <col min="7169" max="7169" width="16.28515625" style="133" customWidth="1"/>
    <col min="7170" max="7170" width="10.7109375" style="133" customWidth="1"/>
    <col min="7171" max="7173" width="0" style="133" hidden="1" customWidth="1"/>
    <col min="7174" max="7174" width="16.7109375" style="133" customWidth="1"/>
    <col min="7175" max="7175" width="11.42578125" style="133" customWidth="1"/>
    <col min="7176" max="7418" width="9.140625" style="133"/>
    <col min="7419" max="7419" width="4.140625" style="133" customWidth="1"/>
    <col min="7420" max="7420" width="29" style="133" customWidth="1"/>
    <col min="7421" max="7421" width="15.85546875" style="133" customWidth="1"/>
    <col min="7422" max="7422" width="25.85546875" style="133" customWidth="1"/>
    <col min="7423" max="7423" width="9.42578125" style="133" customWidth="1"/>
    <col min="7424" max="7424" width="18.28515625" style="133" customWidth="1"/>
    <col min="7425" max="7425" width="16.28515625" style="133" customWidth="1"/>
    <col min="7426" max="7426" width="10.7109375" style="133" customWidth="1"/>
    <col min="7427" max="7429" width="0" style="133" hidden="1" customWidth="1"/>
    <col min="7430" max="7430" width="16.7109375" style="133" customWidth="1"/>
    <col min="7431" max="7431" width="11.42578125" style="133" customWidth="1"/>
    <col min="7432" max="7674" width="9.140625" style="133"/>
    <col min="7675" max="7675" width="4.140625" style="133" customWidth="1"/>
    <col min="7676" max="7676" width="29" style="133" customWidth="1"/>
    <col min="7677" max="7677" width="15.85546875" style="133" customWidth="1"/>
    <col min="7678" max="7678" width="25.85546875" style="133" customWidth="1"/>
    <col min="7679" max="7679" width="9.42578125" style="133" customWidth="1"/>
    <col min="7680" max="7680" width="18.28515625" style="133" customWidth="1"/>
    <col min="7681" max="7681" width="16.28515625" style="133" customWidth="1"/>
    <col min="7682" max="7682" width="10.7109375" style="133" customWidth="1"/>
    <col min="7683" max="7685" width="0" style="133" hidden="1" customWidth="1"/>
    <col min="7686" max="7686" width="16.7109375" style="133" customWidth="1"/>
    <col min="7687" max="7687" width="11.42578125" style="133" customWidth="1"/>
    <col min="7688" max="7930" width="9.140625" style="133"/>
    <col min="7931" max="7931" width="4.140625" style="133" customWidth="1"/>
    <col min="7932" max="7932" width="29" style="133" customWidth="1"/>
    <col min="7933" max="7933" width="15.85546875" style="133" customWidth="1"/>
    <col min="7934" max="7934" width="25.85546875" style="133" customWidth="1"/>
    <col min="7935" max="7935" width="9.42578125" style="133" customWidth="1"/>
    <col min="7936" max="7936" width="18.28515625" style="133" customWidth="1"/>
    <col min="7937" max="7937" width="16.28515625" style="133" customWidth="1"/>
    <col min="7938" max="7938" width="10.7109375" style="133" customWidth="1"/>
    <col min="7939" max="7941" width="0" style="133" hidden="1" customWidth="1"/>
    <col min="7942" max="7942" width="16.7109375" style="133" customWidth="1"/>
    <col min="7943" max="7943" width="11.42578125" style="133" customWidth="1"/>
    <col min="7944" max="8186" width="9.140625" style="133"/>
    <col min="8187" max="8187" width="4.140625" style="133" customWidth="1"/>
    <col min="8188" max="8188" width="29" style="133" customWidth="1"/>
    <col min="8189" max="8189" width="15.85546875" style="133" customWidth="1"/>
    <col min="8190" max="8190" width="25.85546875" style="133" customWidth="1"/>
    <col min="8191" max="8191" width="9.42578125" style="133" customWidth="1"/>
    <col min="8192" max="8192" width="18.28515625" style="133" customWidth="1"/>
    <col min="8193" max="8193" width="16.28515625" style="133" customWidth="1"/>
    <col min="8194" max="8194" width="10.7109375" style="133" customWidth="1"/>
    <col min="8195" max="8197" width="0" style="133" hidden="1" customWidth="1"/>
    <col min="8198" max="8198" width="16.7109375" style="133" customWidth="1"/>
    <col min="8199" max="8199" width="11.42578125" style="133" customWidth="1"/>
    <col min="8200" max="8442" width="9.140625" style="133"/>
    <col min="8443" max="8443" width="4.140625" style="133" customWidth="1"/>
    <col min="8444" max="8444" width="29" style="133" customWidth="1"/>
    <col min="8445" max="8445" width="15.85546875" style="133" customWidth="1"/>
    <col min="8446" max="8446" width="25.85546875" style="133" customWidth="1"/>
    <col min="8447" max="8447" width="9.42578125" style="133" customWidth="1"/>
    <col min="8448" max="8448" width="18.28515625" style="133" customWidth="1"/>
    <col min="8449" max="8449" width="16.28515625" style="133" customWidth="1"/>
    <col min="8450" max="8450" width="10.7109375" style="133" customWidth="1"/>
    <col min="8451" max="8453" width="0" style="133" hidden="1" customWidth="1"/>
    <col min="8454" max="8454" width="16.7109375" style="133" customWidth="1"/>
    <col min="8455" max="8455" width="11.42578125" style="133" customWidth="1"/>
    <col min="8456" max="8698" width="9.140625" style="133"/>
    <col min="8699" max="8699" width="4.140625" style="133" customWidth="1"/>
    <col min="8700" max="8700" width="29" style="133" customWidth="1"/>
    <col min="8701" max="8701" width="15.85546875" style="133" customWidth="1"/>
    <col min="8702" max="8702" width="25.85546875" style="133" customWidth="1"/>
    <col min="8703" max="8703" width="9.42578125" style="133" customWidth="1"/>
    <col min="8704" max="8704" width="18.28515625" style="133" customWidth="1"/>
    <col min="8705" max="8705" width="16.28515625" style="133" customWidth="1"/>
    <col min="8706" max="8706" width="10.7109375" style="133" customWidth="1"/>
    <col min="8707" max="8709" width="0" style="133" hidden="1" customWidth="1"/>
    <col min="8710" max="8710" width="16.7109375" style="133" customWidth="1"/>
    <col min="8711" max="8711" width="11.42578125" style="133" customWidth="1"/>
    <col min="8712" max="8954" width="9.140625" style="133"/>
    <col min="8955" max="8955" width="4.140625" style="133" customWidth="1"/>
    <col min="8956" max="8956" width="29" style="133" customWidth="1"/>
    <col min="8957" max="8957" width="15.85546875" style="133" customWidth="1"/>
    <col min="8958" max="8958" width="25.85546875" style="133" customWidth="1"/>
    <col min="8959" max="8959" width="9.42578125" style="133" customWidth="1"/>
    <col min="8960" max="8960" width="18.28515625" style="133" customWidth="1"/>
    <col min="8961" max="8961" width="16.28515625" style="133" customWidth="1"/>
    <col min="8962" max="8962" width="10.7109375" style="133" customWidth="1"/>
    <col min="8963" max="8965" width="0" style="133" hidden="1" customWidth="1"/>
    <col min="8966" max="8966" width="16.7109375" style="133" customWidth="1"/>
    <col min="8967" max="8967" width="11.42578125" style="133" customWidth="1"/>
    <col min="8968" max="9210" width="9.140625" style="133"/>
    <col min="9211" max="9211" width="4.140625" style="133" customWidth="1"/>
    <col min="9212" max="9212" width="29" style="133" customWidth="1"/>
    <col min="9213" max="9213" width="15.85546875" style="133" customWidth="1"/>
    <col min="9214" max="9214" width="25.85546875" style="133" customWidth="1"/>
    <col min="9215" max="9215" width="9.42578125" style="133" customWidth="1"/>
    <col min="9216" max="9216" width="18.28515625" style="133" customWidth="1"/>
    <col min="9217" max="9217" width="16.28515625" style="133" customWidth="1"/>
    <col min="9218" max="9218" width="10.7109375" style="133" customWidth="1"/>
    <col min="9219" max="9221" width="0" style="133" hidden="1" customWidth="1"/>
    <col min="9222" max="9222" width="16.7109375" style="133" customWidth="1"/>
    <col min="9223" max="9223" width="11.42578125" style="133" customWidth="1"/>
    <col min="9224" max="9466" width="9.140625" style="133"/>
    <col min="9467" max="9467" width="4.140625" style="133" customWidth="1"/>
    <col min="9468" max="9468" width="29" style="133" customWidth="1"/>
    <col min="9469" max="9469" width="15.85546875" style="133" customWidth="1"/>
    <col min="9470" max="9470" width="25.85546875" style="133" customWidth="1"/>
    <col min="9471" max="9471" width="9.42578125" style="133" customWidth="1"/>
    <col min="9472" max="9472" width="18.28515625" style="133" customWidth="1"/>
    <col min="9473" max="9473" width="16.28515625" style="133" customWidth="1"/>
    <col min="9474" max="9474" width="10.7109375" style="133" customWidth="1"/>
    <col min="9475" max="9477" width="0" style="133" hidden="1" customWidth="1"/>
    <col min="9478" max="9478" width="16.7109375" style="133" customWidth="1"/>
    <col min="9479" max="9479" width="11.42578125" style="133" customWidth="1"/>
    <col min="9480" max="9722" width="9.140625" style="133"/>
    <col min="9723" max="9723" width="4.140625" style="133" customWidth="1"/>
    <col min="9724" max="9724" width="29" style="133" customWidth="1"/>
    <col min="9725" max="9725" width="15.85546875" style="133" customWidth="1"/>
    <col min="9726" max="9726" width="25.85546875" style="133" customWidth="1"/>
    <col min="9727" max="9727" width="9.42578125" style="133" customWidth="1"/>
    <col min="9728" max="9728" width="18.28515625" style="133" customWidth="1"/>
    <col min="9729" max="9729" width="16.28515625" style="133" customWidth="1"/>
    <col min="9730" max="9730" width="10.7109375" style="133" customWidth="1"/>
    <col min="9731" max="9733" width="0" style="133" hidden="1" customWidth="1"/>
    <col min="9734" max="9734" width="16.7109375" style="133" customWidth="1"/>
    <col min="9735" max="9735" width="11.42578125" style="133" customWidth="1"/>
    <col min="9736" max="9978" width="9.140625" style="133"/>
    <col min="9979" max="9979" width="4.140625" style="133" customWidth="1"/>
    <col min="9980" max="9980" width="29" style="133" customWidth="1"/>
    <col min="9981" max="9981" width="15.85546875" style="133" customWidth="1"/>
    <col min="9982" max="9982" width="25.85546875" style="133" customWidth="1"/>
    <col min="9983" max="9983" width="9.42578125" style="133" customWidth="1"/>
    <col min="9984" max="9984" width="18.28515625" style="133" customWidth="1"/>
    <col min="9985" max="9985" width="16.28515625" style="133" customWidth="1"/>
    <col min="9986" max="9986" width="10.7109375" style="133" customWidth="1"/>
    <col min="9987" max="9989" width="0" style="133" hidden="1" customWidth="1"/>
    <col min="9990" max="9990" width="16.7109375" style="133" customWidth="1"/>
    <col min="9991" max="9991" width="11.42578125" style="133" customWidth="1"/>
    <col min="9992" max="10234" width="9.140625" style="133"/>
    <col min="10235" max="10235" width="4.140625" style="133" customWidth="1"/>
    <col min="10236" max="10236" width="29" style="133" customWidth="1"/>
    <col min="10237" max="10237" width="15.85546875" style="133" customWidth="1"/>
    <col min="10238" max="10238" width="25.85546875" style="133" customWidth="1"/>
    <col min="10239" max="10239" width="9.42578125" style="133" customWidth="1"/>
    <col min="10240" max="10240" width="18.28515625" style="133" customWidth="1"/>
    <col min="10241" max="10241" width="16.28515625" style="133" customWidth="1"/>
    <col min="10242" max="10242" width="10.7109375" style="133" customWidth="1"/>
    <col min="10243" max="10245" width="0" style="133" hidden="1" customWidth="1"/>
    <col min="10246" max="10246" width="16.7109375" style="133" customWidth="1"/>
    <col min="10247" max="10247" width="11.42578125" style="133" customWidth="1"/>
    <col min="10248" max="10490" width="9.140625" style="133"/>
    <col min="10491" max="10491" width="4.140625" style="133" customWidth="1"/>
    <col min="10492" max="10492" width="29" style="133" customWidth="1"/>
    <col min="10493" max="10493" width="15.85546875" style="133" customWidth="1"/>
    <col min="10494" max="10494" width="25.85546875" style="133" customWidth="1"/>
    <col min="10495" max="10495" width="9.42578125" style="133" customWidth="1"/>
    <col min="10496" max="10496" width="18.28515625" style="133" customWidth="1"/>
    <col min="10497" max="10497" width="16.28515625" style="133" customWidth="1"/>
    <col min="10498" max="10498" width="10.7109375" style="133" customWidth="1"/>
    <col min="10499" max="10501" width="0" style="133" hidden="1" customWidth="1"/>
    <col min="10502" max="10502" width="16.7109375" style="133" customWidth="1"/>
    <col min="10503" max="10503" width="11.42578125" style="133" customWidth="1"/>
    <col min="10504" max="10746" width="9.140625" style="133"/>
    <col min="10747" max="10747" width="4.140625" style="133" customWidth="1"/>
    <col min="10748" max="10748" width="29" style="133" customWidth="1"/>
    <col min="10749" max="10749" width="15.85546875" style="133" customWidth="1"/>
    <col min="10750" max="10750" width="25.85546875" style="133" customWidth="1"/>
    <col min="10751" max="10751" width="9.42578125" style="133" customWidth="1"/>
    <col min="10752" max="10752" width="18.28515625" style="133" customWidth="1"/>
    <col min="10753" max="10753" width="16.28515625" style="133" customWidth="1"/>
    <col min="10754" max="10754" width="10.7109375" style="133" customWidth="1"/>
    <col min="10755" max="10757" width="0" style="133" hidden="1" customWidth="1"/>
    <col min="10758" max="10758" width="16.7109375" style="133" customWidth="1"/>
    <col min="10759" max="10759" width="11.42578125" style="133" customWidth="1"/>
    <col min="10760" max="11002" width="9.140625" style="133"/>
    <col min="11003" max="11003" width="4.140625" style="133" customWidth="1"/>
    <col min="11004" max="11004" width="29" style="133" customWidth="1"/>
    <col min="11005" max="11005" width="15.85546875" style="133" customWidth="1"/>
    <col min="11006" max="11006" width="25.85546875" style="133" customWidth="1"/>
    <col min="11007" max="11007" width="9.42578125" style="133" customWidth="1"/>
    <col min="11008" max="11008" width="18.28515625" style="133" customWidth="1"/>
    <col min="11009" max="11009" width="16.28515625" style="133" customWidth="1"/>
    <col min="11010" max="11010" width="10.7109375" style="133" customWidth="1"/>
    <col min="11011" max="11013" width="0" style="133" hidden="1" customWidth="1"/>
    <col min="11014" max="11014" width="16.7109375" style="133" customWidth="1"/>
    <col min="11015" max="11015" width="11.42578125" style="133" customWidth="1"/>
    <col min="11016" max="11258" width="9.140625" style="133"/>
    <col min="11259" max="11259" width="4.140625" style="133" customWidth="1"/>
    <col min="11260" max="11260" width="29" style="133" customWidth="1"/>
    <col min="11261" max="11261" width="15.85546875" style="133" customWidth="1"/>
    <col min="11262" max="11262" width="25.85546875" style="133" customWidth="1"/>
    <col min="11263" max="11263" width="9.42578125" style="133" customWidth="1"/>
    <col min="11264" max="11264" width="18.28515625" style="133" customWidth="1"/>
    <col min="11265" max="11265" width="16.28515625" style="133" customWidth="1"/>
    <col min="11266" max="11266" width="10.7109375" style="133" customWidth="1"/>
    <col min="11267" max="11269" width="0" style="133" hidden="1" customWidth="1"/>
    <col min="11270" max="11270" width="16.7109375" style="133" customWidth="1"/>
    <col min="11271" max="11271" width="11.42578125" style="133" customWidth="1"/>
    <col min="11272" max="11514" width="9.140625" style="133"/>
    <col min="11515" max="11515" width="4.140625" style="133" customWidth="1"/>
    <col min="11516" max="11516" width="29" style="133" customWidth="1"/>
    <col min="11517" max="11517" width="15.85546875" style="133" customWidth="1"/>
    <col min="11518" max="11518" width="25.85546875" style="133" customWidth="1"/>
    <col min="11519" max="11519" width="9.42578125" style="133" customWidth="1"/>
    <col min="11520" max="11520" width="18.28515625" style="133" customWidth="1"/>
    <col min="11521" max="11521" width="16.28515625" style="133" customWidth="1"/>
    <col min="11522" max="11522" width="10.7109375" style="133" customWidth="1"/>
    <col min="11523" max="11525" width="0" style="133" hidden="1" customWidth="1"/>
    <col min="11526" max="11526" width="16.7109375" style="133" customWidth="1"/>
    <col min="11527" max="11527" width="11.42578125" style="133" customWidth="1"/>
    <col min="11528" max="11770" width="9.140625" style="133"/>
    <col min="11771" max="11771" width="4.140625" style="133" customWidth="1"/>
    <col min="11772" max="11772" width="29" style="133" customWidth="1"/>
    <col min="11773" max="11773" width="15.85546875" style="133" customWidth="1"/>
    <col min="11774" max="11774" width="25.85546875" style="133" customWidth="1"/>
    <col min="11775" max="11775" width="9.42578125" style="133" customWidth="1"/>
    <col min="11776" max="11776" width="18.28515625" style="133" customWidth="1"/>
    <col min="11777" max="11777" width="16.28515625" style="133" customWidth="1"/>
    <col min="11778" max="11778" width="10.7109375" style="133" customWidth="1"/>
    <col min="11779" max="11781" width="0" style="133" hidden="1" customWidth="1"/>
    <col min="11782" max="11782" width="16.7109375" style="133" customWidth="1"/>
    <col min="11783" max="11783" width="11.42578125" style="133" customWidth="1"/>
    <col min="11784" max="12026" width="9.140625" style="133"/>
    <col min="12027" max="12027" width="4.140625" style="133" customWidth="1"/>
    <col min="12028" max="12028" width="29" style="133" customWidth="1"/>
    <col min="12029" max="12029" width="15.85546875" style="133" customWidth="1"/>
    <col min="12030" max="12030" width="25.85546875" style="133" customWidth="1"/>
    <col min="12031" max="12031" width="9.42578125" style="133" customWidth="1"/>
    <col min="12032" max="12032" width="18.28515625" style="133" customWidth="1"/>
    <col min="12033" max="12033" width="16.28515625" style="133" customWidth="1"/>
    <col min="12034" max="12034" width="10.7109375" style="133" customWidth="1"/>
    <col min="12035" max="12037" width="0" style="133" hidden="1" customWidth="1"/>
    <col min="12038" max="12038" width="16.7109375" style="133" customWidth="1"/>
    <col min="12039" max="12039" width="11.42578125" style="133" customWidth="1"/>
    <col min="12040" max="12282" width="9.140625" style="133"/>
    <col min="12283" max="12283" width="4.140625" style="133" customWidth="1"/>
    <col min="12284" max="12284" width="29" style="133" customWidth="1"/>
    <col min="12285" max="12285" width="15.85546875" style="133" customWidth="1"/>
    <col min="12286" max="12286" width="25.85546875" style="133" customWidth="1"/>
    <col min="12287" max="12287" width="9.42578125" style="133" customWidth="1"/>
    <col min="12288" max="12288" width="18.28515625" style="133" customWidth="1"/>
    <col min="12289" max="12289" width="16.28515625" style="133" customWidth="1"/>
    <col min="12290" max="12290" width="10.7109375" style="133" customWidth="1"/>
    <col min="12291" max="12293" width="0" style="133" hidden="1" customWidth="1"/>
    <col min="12294" max="12294" width="16.7109375" style="133" customWidth="1"/>
    <col min="12295" max="12295" width="11.42578125" style="133" customWidth="1"/>
    <col min="12296" max="12538" width="9.140625" style="133"/>
    <col min="12539" max="12539" width="4.140625" style="133" customWidth="1"/>
    <col min="12540" max="12540" width="29" style="133" customWidth="1"/>
    <col min="12541" max="12541" width="15.85546875" style="133" customWidth="1"/>
    <col min="12542" max="12542" width="25.85546875" style="133" customWidth="1"/>
    <col min="12543" max="12543" width="9.42578125" style="133" customWidth="1"/>
    <col min="12544" max="12544" width="18.28515625" style="133" customWidth="1"/>
    <col min="12545" max="12545" width="16.28515625" style="133" customWidth="1"/>
    <col min="12546" max="12546" width="10.7109375" style="133" customWidth="1"/>
    <col min="12547" max="12549" width="0" style="133" hidden="1" customWidth="1"/>
    <col min="12550" max="12550" width="16.7109375" style="133" customWidth="1"/>
    <col min="12551" max="12551" width="11.42578125" style="133" customWidth="1"/>
    <col min="12552" max="12794" width="9.140625" style="133"/>
    <col min="12795" max="12795" width="4.140625" style="133" customWidth="1"/>
    <col min="12796" max="12796" width="29" style="133" customWidth="1"/>
    <col min="12797" max="12797" width="15.85546875" style="133" customWidth="1"/>
    <col min="12798" max="12798" width="25.85546875" style="133" customWidth="1"/>
    <col min="12799" max="12799" width="9.42578125" style="133" customWidth="1"/>
    <col min="12800" max="12800" width="18.28515625" style="133" customWidth="1"/>
    <col min="12801" max="12801" width="16.28515625" style="133" customWidth="1"/>
    <col min="12802" max="12802" width="10.7109375" style="133" customWidth="1"/>
    <col min="12803" max="12805" width="0" style="133" hidden="1" customWidth="1"/>
    <col min="12806" max="12806" width="16.7109375" style="133" customWidth="1"/>
    <col min="12807" max="12807" width="11.42578125" style="133" customWidth="1"/>
    <col min="12808" max="13050" width="9.140625" style="133"/>
    <col min="13051" max="13051" width="4.140625" style="133" customWidth="1"/>
    <col min="13052" max="13052" width="29" style="133" customWidth="1"/>
    <col min="13053" max="13053" width="15.85546875" style="133" customWidth="1"/>
    <col min="13054" max="13054" width="25.85546875" style="133" customWidth="1"/>
    <col min="13055" max="13055" width="9.42578125" style="133" customWidth="1"/>
    <col min="13056" max="13056" width="18.28515625" style="133" customWidth="1"/>
    <col min="13057" max="13057" width="16.28515625" style="133" customWidth="1"/>
    <col min="13058" max="13058" width="10.7109375" style="133" customWidth="1"/>
    <col min="13059" max="13061" width="0" style="133" hidden="1" customWidth="1"/>
    <col min="13062" max="13062" width="16.7109375" style="133" customWidth="1"/>
    <col min="13063" max="13063" width="11.42578125" style="133" customWidth="1"/>
    <col min="13064" max="13306" width="9.140625" style="133"/>
    <col min="13307" max="13307" width="4.140625" style="133" customWidth="1"/>
    <col min="13308" max="13308" width="29" style="133" customWidth="1"/>
    <col min="13309" max="13309" width="15.85546875" style="133" customWidth="1"/>
    <col min="13310" max="13310" width="25.85546875" style="133" customWidth="1"/>
    <col min="13311" max="13311" width="9.42578125" style="133" customWidth="1"/>
    <col min="13312" max="13312" width="18.28515625" style="133" customWidth="1"/>
    <col min="13313" max="13313" width="16.28515625" style="133" customWidth="1"/>
    <col min="13314" max="13314" width="10.7109375" style="133" customWidth="1"/>
    <col min="13315" max="13317" width="0" style="133" hidden="1" customWidth="1"/>
    <col min="13318" max="13318" width="16.7109375" style="133" customWidth="1"/>
    <col min="13319" max="13319" width="11.42578125" style="133" customWidth="1"/>
    <col min="13320" max="13562" width="9.140625" style="133"/>
    <col min="13563" max="13563" width="4.140625" style="133" customWidth="1"/>
    <col min="13564" max="13564" width="29" style="133" customWidth="1"/>
    <col min="13565" max="13565" width="15.85546875" style="133" customWidth="1"/>
    <col min="13566" max="13566" width="25.85546875" style="133" customWidth="1"/>
    <col min="13567" max="13567" width="9.42578125" style="133" customWidth="1"/>
    <col min="13568" max="13568" width="18.28515625" style="133" customWidth="1"/>
    <col min="13569" max="13569" width="16.28515625" style="133" customWidth="1"/>
    <col min="13570" max="13570" width="10.7109375" style="133" customWidth="1"/>
    <col min="13571" max="13573" width="0" style="133" hidden="1" customWidth="1"/>
    <col min="13574" max="13574" width="16.7109375" style="133" customWidth="1"/>
    <col min="13575" max="13575" width="11.42578125" style="133" customWidth="1"/>
    <col min="13576" max="13818" width="9.140625" style="133"/>
    <col min="13819" max="13819" width="4.140625" style="133" customWidth="1"/>
    <col min="13820" max="13820" width="29" style="133" customWidth="1"/>
    <col min="13821" max="13821" width="15.85546875" style="133" customWidth="1"/>
    <col min="13822" max="13822" width="25.85546875" style="133" customWidth="1"/>
    <col min="13823" max="13823" width="9.42578125" style="133" customWidth="1"/>
    <col min="13824" max="13824" width="18.28515625" style="133" customWidth="1"/>
    <col min="13825" max="13825" width="16.28515625" style="133" customWidth="1"/>
    <col min="13826" max="13826" width="10.7109375" style="133" customWidth="1"/>
    <col min="13827" max="13829" width="0" style="133" hidden="1" customWidth="1"/>
    <col min="13830" max="13830" width="16.7109375" style="133" customWidth="1"/>
    <col min="13831" max="13831" width="11.42578125" style="133" customWidth="1"/>
    <col min="13832" max="14074" width="9.140625" style="133"/>
    <col min="14075" max="14075" width="4.140625" style="133" customWidth="1"/>
    <col min="14076" max="14076" width="29" style="133" customWidth="1"/>
    <col min="14077" max="14077" width="15.85546875" style="133" customWidth="1"/>
    <col min="14078" max="14078" width="25.85546875" style="133" customWidth="1"/>
    <col min="14079" max="14079" width="9.42578125" style="133" customWidth="1"/>
    <col min="14080" max="14080" width="18.28515625" style="133" customWidth="1"/>
    <col min="14081" max="14081" width="16.28515625" style="133" customWidth="1"/>
    <col min="14082" max="14082" width="10.7109375" style="133" customWidth="1"/>
    <col min="14083" max="14085" width="0" style="133" hidden="1" customWidth="1"/>
    <col min="14086" max="14086" width="16.7109375" style="133" customWidth="1"/>
    <col min="14087" max="14087" width="11.42578125" style="133" customWidth="1"/>
    <col min="14088" max="14330" width="9.140625" style="133"/>
    <col min="14331" max="14331" width="4.140625" style="133" customWidth="1"/>
    <col min="14332" max="14332" width="29" style="133" customWidth="1"/>
    <col min="14333" max="14333" width="15.85546875" style="133" customWidth="1"/>
    <col min="14334" max="14334" width="25.85546875" style="133" customWidth="1"/>
    <col min="14335" max="14335" width="9.42578125" style="133" customWidth="1"/>
    <col min="14336" max="14336" width="18.28515625" style="133" customWidth="1"/>
    <col min="14337" max="14337" width="16.28515625" style="133" customWidth="1"/>
    <col min="14338" max="14338" width="10.7109375" style="133" customWidth="1"/>
    <col min="14339" max="14341" width="0" style="133" hidden="1" customWidth="1"/>
    <col min="14342" max="14342" width="16.7109375" style="133" customWidth="1"/>
    <col min="14343" max="14343" width="11.42578125" style="133" customWidth="1"/>
    <col min="14344" max="14586" width="9.140625" style="133"/>
    <col min="14587" max="14587" width="4.140625" style="133" customWidth="1"/>
    <col min="14588" max="14588" width="29" style="133" customWidth="1"/>
    <col min="14589" max="14589" width="15.85546875" style="133" customWidth="1"/>
    <col min="14590" max="14590" width="25.85546875" style="133" customWidth="1"/>
    <col min="14591" max="14591" width="9.42578125" style="133" customWidth="1"/>
    <col min="14592" max="14592" width="18.28515625" style="133" customWidth="1"/>
    <col min="14593" max="14593" width="16.28515625" style="133" customWidth="1"/>
    <col min="14594" max="14594" width="10.7109375" style="133" customWidth="1"/>
    <col min="14595" max="14597" width="0" style="133" hidden="1" customWidth="1"/>
    <col min="14598" max="14598" width="16.7109375" style="133" customWidth="1"/>
    <col min="14599" max="14599" width="11.42578125" style="133" customWidth="1"/>
    <col min="14600" max="14842" width="9.140625" style="133"/>
    <col min="14843" max="14843" width="4.140625" style="133" customWidth="1"/>
    <col min="14844" max="14844" width="29" style="133" customWidth="1"/>
    <col min="14845" max="14845" width="15.85546875" style="133" customWidth="1"/>
    <col min="14846" max="14846" width="25.85546875" style="133" customWidth="1"/>
    <col min="14847" max="14847" width="9.42578125" style="133" customWidth="1"/>
    <col min="14848" max="14848" width="18.28515625" style="133" customWidth="1"/>
    <col min="14849" max="14849" width="16.28515625" style="133" customWidth="1"/>
    <col min="14850" max="14850" width="10.7109375" style="133" customWidth="1"/>
    <col min="14851" max="14853" width="0" style="133" hidden="1" customWidth="1"/>
    <col min="14854" max="14854" width="16.7109375" style="133" customWidth="1"/>
    <col min="14855" max="14855" width="11.42578125" style="133" customWidth="1"/>
    <col min="14856" max="15098" width="9.140625" style="133"/>
    <col min="15099" max="15099" width="4.140625" style="133" customWidth="1"/>
    <col min="15100" max="15100" width="29" style="133" customWidth="1"/>
    <col min="15101" max="15101" width="15.85546875" style="133" customWidth="1"/>
    <col min="15102" max="15102" width="25.85546875" style="133" customWidth="1"/>
    <col min="15103" max="15103" width="9.42578125" style="133" customWidth="1"/>
    <col min="15104" max="15104" width="18.28515625" style="133" customWidth="1"/>
    <col min="15105" max="15105" width="16.28515625" style="133" customWidth="1"/>
    <col min="15106" max="15106" width="10.7109375" style="133" customWidth="1"/>
    <col min="15107" max="15109" width="0" style="133" hidden="1" customWidth="1"/>
    <col min="15110" max="15110" width="16.7109375" style="133" customWidth="1"/>
    <col min="15111" max="15111" width="11.42578125" style="133" customWidth="1"/>
    <col min="15112" max="15354" width="9.140625" style="133"/>
    <col min="15355" max="15355" width="4.140625" style="133" customWidth="1"/>
    <col min="15356" max="15356" width="29" style="133" customWidth="1"/>
    <col min="15357" max="15357" width="15.85546875" style="133" customWidth="1"/>
    <col min="15358" max="15358" width="25.85546875" style="133" customWidth="1"/>
    <col min="15359" max="15359" width="9.42578125" style="133" customWidth="1"/>
    <col min="15360" max="15360" width="18.28515625" style="133" customWidth="1"/>
    <col min="15361" max="15361" width="16.28515625" style="133" customWidth="1"/>
    <col min="15362" max="15362" width="10.7109375" style="133" customWidth="1"/>
    <col min="15363" max="15365" width="0" style="133" hidden="1" customWidth="1"/>
    <col min="15366" max="15366" width="16.7109375" style="133" customWidth="1"/>
    <col min="15367" max="15367" width="11.42578125" style="133" customWidth="1"/>
    <col min="15368" max="15610" width="9.140625" style="133"/>
    <col min="15611" max="15611" width="4.140625" style="133" customWidth="1"/>
    <col min="15612" max="15612" width="29" style="133" customWidth="1"/>
    <col min="15613" max="15613" width="15.85546875" style="133" customWidth="1"/>
    <col min="15614" max="15614" width="25.85546875" style="133" customWidth="1"/>
    <col min="15615" max="15615" width="9.42578125" style="133" customWidth="1"/>
    <col min="15616" max="15616" width="18.28515625" style="133" customWidth="1"/>
    <col min="15617" max="15617" width="16.28515625" style="133" customWidth="1"/>
    <col min="15618" max="15618" width="10.7109375" style="133" customWidth="1"/>
    <col min="15619" max="15621" width="0" style="133" hidden="1" customWidth="1"/>
    <col min="15622" max="15622" width="16.7109375" style="133" customWidth="1"/>
    <col min="15623" max="15623" width="11.42578125" style="133" customWidth="1"/>
    <col min="15624" max="15866" width="9.140625" style="133"/>
    <col min="15867" max="15867" width="4.140625" style="133" customWidth="1"/>
    <col min="15868" max="15868" width="29" style="133" customWidth="1"/>
    <col min="15869" max="15869" width="15.85546875" style="133" customWidth="1"/>
    <col min="15870" max="15870" width="25.85546875" style="133" customWidth="1"/>
    <col min="15871" max="15871" width="9.42578125" style="133" customWidth="1"/>
    <col min="15872" max="15872" width="18.28515625" style="133" customWidth="1"/>
    <col min="15873" max="15873" width="16.28515625" style="133" customWidth="1"/>
    <col min="15874" max="15874" width="10.7109375" style="133" customWidth="1"/>
    <col min="15875" max="15877" width="0" style="133" hidden="1" customWidth="1"/>
    <col min="15878" max="15878" width="16.7109375" style="133" customWidth="1"/>
    <col min="15879" max="15879" width="11.42578125" style="133" customWidth="1"/>
    <col min="15880" max="16122" width="9.140625" style="133"/>
    <col min="16123" max="16123" width="4.140625" style="133" customWidth="1"/>
    <col min="16124" max="16124" width="29" style="133" customWidth="1"/>
    <col min="16125" max="16125" width="15.85546875" style="133" customWidth="1"/>
    <col min="16126" max="16126" width="25.85546875" style="133" customWidth="1"/>
    <col min="16127" max="16127" width="9.42578125" style="133" customWidth="1"/>
    <col min="16128" max="16128" width="18.28515625" style="133" customWidth="1"/>
    <col min="16129" max="16129" width="16.28515625" style="133" customWidth="1"/>
    <col min="16130" max="16130" width="10.7109375" style="133" customWidth="1"/>
    <col min="16131" max="16133" width="0" style="133" hidden="1" customWidth="1"/>
    <col min="16134" max="16134" width="16.7109375" style="133" customWidth="1"/>
    <col min="16135" max="16135" width="11.42578125" style="133" customWidth="1"/>
    <col min="16136" max="16384" width="9.140625" style="133"/>
  </cols>
  <sheetData>
    <row r="1" spans="1:250" ht="14.25" x14ac:dyDescent="0.2">
      <c r="I1" s="327" t="s">
        <v>190</v>
      </c>
    </row>
    <row r="2" spans="1:250" s="138" customFormat="1" ht="19.5" customHeight="1" x14ac:dyDescent="0.2">
      <c r="A2" s="184"/>
      <c r="B2" s="184"/>
      <c r="C2" s="184"/>
      <c r="D2" s="184"/>
      <c r="N2" s="317"/>
      <c r="O2" s="317"/>
    </row>
    <row r="3" spans="1:250" s="138" customFormat="1" ht="19.5" hidden="1" customHeight="1" x14ac:dyDescent="0.2">
      <c r="A3" s="184"/>
      <c r="B3" s="184"/>
      <c r="C3" s="184"/>
      <c r="D3" s="184"/>
      <c r="E3" s="300"/>
      <c r="G3" s="300"/>
      <c r="H3" s="133"/>
      <c r="I3" s="273" t="s">
        <v>190</v>
      </c>
      <c r="J3" s="133"/>
      <c r="K3" s="133"/>
      <c r="L3" s="272"/>
      <c r="M3" s="133"/>
      <c r="N3" s="317"/>
      <c r="O3" s="317"/>
    </row>
    <row r="4" spans="1:250" s="138" customFormat="1" ht="19.5" hidden="1" customHeight="1" x14ac:dyDescent="0.2">
      <c r="A4" s="184"/>
      <c r="B4" s="184"/>
      <c r="C4" s="184"/>
      <c r="D4" s="184"/>
      <c r="E4" s="300"/>
      <c r="G4" s="300"/>
      <c r="H4" s="241"/>
      <c r="I4" s="324" t="s">
        <v>191</v>
      </c>
      <c r="J4" s="325"/>
      <c r="K4" s="325"/>
      <c r="L4" s="326"/>
      <c r="M4" s="318" t="s">
        <v>192</v>
      </c>
      <c r="N4" s="317"/>
      <c r="O4" s="317"/>
    </row>
    <row r="5" spans="1:250" s="138" customFormat="1" ht="19.5" customHeight="1" x14ac:dyDescent="0.2">
      <c r="D5" s="156"/>
      <c r="H5" s="241"/>
      <c r="I5" s="319" t="s">
        <v>193</v>
      </c>
      <c r="J5" s="319" t="s">
        <v>194</v>
      </c>
      <c r="K5" s="319" t="s">
        <v>195</v>
      </c>
      <c r="L5" s="320" t="s">
        <v>196</v>
      </c>
      <c r="M5" s="321"/>
      <c r="N5" s="317"/>
      <c r="O5" s="317"/>
    </row>
    <row r="6" spans="1:250" s="138" customFormat="1" ht="19.5" customHeight="1" x14ac:dyDescent="0.2">
      <c r="D6" s="156"/>
      <c r="E6" s="300"/>
      <c r="G6" s="301"/>
      <c r="H6" s="274" t="s">
        <v>197</v>
      </c>
      <c r="I6" s="270">
        <v>0.01</v>
      </c>
      <c r="J6" s="270">
        <v>0.15</v>
      </c>
      <c r="K6" s="270">
        <v>1.5</v>
      </c>
      <c r="L6" s="275">
        <f>J6-(J6-J7)*(M16-I6)/(I7-I6)</f>
        <v>-3.7924999999999959E-2</v>
      </c>
      <c r="N6" s="317"/>
      <c r="O6" s="317"/>
    </row>
    <row r="7" spans="1:250" ht="20.25" customHeight="1" x14ac:dyDescent="0.2">
      <c r="A7" s="619" t="s">
        <v>82</v>
      </c>
      <c r="B7" s="619"/>
      <c r="C7" s="619"/>
      <c r="D7" s="619"/>
      <c r="E7" s="619"/>
      <c r="F7" s="619"/>
      <c r="G7" s="619"/>
      <c r="H7" s="241"/>
      <c r="I7" s="270">
        <v>0.05</v>
      </c>
      <c r="J7" s="270">
        <v>0.11</v>
      </c>
      <c r="K7" s="270">
        <v>5.5</v>
      </c>
      <c r="L7" s="275">
        <f>J7-(J7-J8)*(M16-I7)/(I8-I7)</f>
        <v>3.6037500000000028E-2</v>
      </c>
      <c r="M7" s="276"/>
      <c r="N7" s="276"/>
      <c r="O7" s="317"/>
    </row>
    <row r="8" spans="1:250" s="260" customFormat="1" ht="13.5" x14ac:dyDescent="0.2">
      <c r="A8" s="688"/>
      <c r="B8" s="688"/>
      <c r="C8" s="688"/>
      <c r="D8" s="688"/>
      <c r="E8" s="688"/>
      <c r="F8" s="688"/>
      <c r="G8" s="688"/>
      <c r="H8" s="241"/>
      <c r="I8" s="270">
        <v>0.1</v>
      </c>
      <c r="J8" s="270">
        <v>8.5000000000000006E-2</v>
      </c>
      <c r="K8" s="270">
        <v>8.5</v>
      </c>
      <c r="L8" s="275">
        <f>J8-(J8-J9)*(M16-I8)/(I9-I8)</f>
        <v>6.5414999999999987E-2</v>
      </c>
      <c r="M8" s="276"/>
      <c r="N8" s="276"/>
      <c r="O8" s="317"/>
    </row>
    <row r="9" spans="1:250" s="260" customFormat="1" ht="39.75" customHeight="1" x14ac:dyDescent="0.2">
      <c r="A9" s="689" t="str">
        <f>' ССР'!A7:D7</f>
        <v>на разработку проектной документации и рабочей документации на прокладку разводящей тепловой сети ПАО "МОЭК", расположенной по адресу: г. Москва, ул. Дмитрия Ульянова, д.43, корп.3, стр.1</v>
      </c>
      <c r="B9" s="689"/>
      <c r="C9" s="689"/>
      <c r="D9" s="689"/>
      <c r="E9" s="689"/>
      <c r="F9" s="689"/>
      <c r="G9" s="689"/>
      <c r="H9" s="241"/>
      <c r="I9" s="270">
        <v>0.15</v>
      </c>
      <c r="J9" s="270">
        <v>7.4999999999999997E-2</v>
      </c>
      <c r="K9" s="270">
        <v>11.25</v>
      </c>
      <c r="L9" s="275">
        <f>J9-(J9-J10)*(M16-I9)/(I10-I9)</f>
        <v>6.7332000000000003E-2</v>
      </c>
      <c r="M9" s="276"/>
      <c r="N9" s="276"/>
      <c r="O9" s="317"/>
    </row>
    <row r="10" spans="1:250" s="138" customFormat="1" ht="17.25" customHeight="1" thickBot="1" x14ac:dyDescent="0.25">
      <c r="A10" s="159"/>
      <c r="B10" s="141"/>
      <c r="C10" s="141"/>
      <c r="D10" s="141"/>
      <c r="E10" s="141"/>
      <c r="F10" s="141"/>
      <c r="G10" s="141"/>
      <c r="H10" s="241"/>
      <c r="I10" s="270">
        <v>0.2</v>
      </c>
      <c r="J10" s="270">
        <v>6.7000000000000004E-2</v>
      </c>
      <c r="K10" s="270">
        <v>13.4</v>
      </c>
      <c r="L10" s="275">
        <f>J10-(J10-J11)*(M16-I10)/(I11-I10)</f>
        <v>6.7373500000000003E-2</v>
      </c>
      <c r="M10" s="276"/>
      <c r="N10" s="276"/>
      <c r="O10" s="317"/>
    </row>
    <row r="11" spans="1:250" s="260" customFormat="1" ht="43.5" customHeight="1" thickBot="1" x14ac:dyDescent="0.25">
      <c r="A11" s="690" t="s">
        <v>202</v>
      </c>
      <c r="B11" s="691"/>
      <c r="C11" s="691"/>
      <c r="D11" s="691"/>
      <c r="E11" s="691"/>
      <c r="F11" s="691"/>
      <c r="G11" s="692"/>
      <c r="H11" s="241"/>
      <c r="I11" s="270">
        <v>0.25</v>
      </c>
      <c r="J11" s="270">
        <v>5.8000000000000003E-2</v>
      </c>
      <c r="K11" s="270">
        <v>14.5</v>
      </c>
      <c r="L11" s="275">
        <f>J11-(J11-J12)*(M16-I11)/(I12-I11)</f>
        <v>6.0083000000000004E-2</v>
      </c>
      <c r="M11" s="276"/>
      <c r="N11" s="276"/>
      <c r="O11" s="317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U11" s="245"/>
      <c r="AV11" s="245"/>
      <c r="AW11" s="245"/>
      <c r="AX11" s="245"/>
      <c r="AY11" s="245"/>
      <c r="AZ11" s="245"/>
      <c r="BA11" s="245"/>
      <c r="BB11" s="245"/>
      <c r="BC11" s="245"/>
      <c r="BD11" s="245"/>
      <c r="BE11" s="245"/>
      <c r="BF11" s="245"/>
      <c r="BG11" s="245"/>
      <c r="BH11" s="245"/>
      <c r="BI11" s="245"/>
      <c r="BJ11" s="245"/>
      <c r="BK11" s="245"/>
      <c r="BL11" s="245"/>
      <c r="BM11" s="245"/>
      <c r="BN11" s="245"/>
      <c r="BO11" s="245"/>
      <c r="BP11" s="245"/>
      <c r="BQ11" s="245"/>
      <c r="BR11" s="245"/>
      <c r="BS11" s="245"/>
      <c r="BT11" s="245"/>
      <c r="BU11" s="245"/>
      <c r="BV11" s="245"/>
      <c r="BW11" s="245"/>
      <c r="BX11" s="245"/>
      <c r="BY11" s="245"/>
      <c r="BZ11" s="245"/>
      <c r="CA11" s="245"/>
      <c r="CB11" s="245"/>
      <c r="CC11" s="245"/>
      <c r="CD11" s="245"/>
      <c r="CE11" s="245"/>
      <c r="CF11" s="245"/>
      <c r="CG11" s="245"/>
      <c r="CH11" s="245"/>
      <c r="CI11" s="245"/>
      <c r="CJ11" s="245"/>
      <c r="CK11" s="245"/>
      <c r="CL11" s="245"/>
      <c r="CM11" s="245"/>
      <c r="CN11" s="245"/>
      <c r="CO11" s="245"/>
      <c r="CP11" s="245"/>
      <c r="CQ11" s="245"/>
      <c r="CR11" s="245"/>
      <c r="CS11" s="245"/>
      <c r="CT11" s="245"/>
      <c r="CU11" s="245"/>
      <c r="CV11" s="245"/>
      <c r="CW11" s="245"/>
      <c r="CX11" s="245"/>
      <c r="CY11" s="245"/>
      <c r="CZ11" s="245"/>
      <c r="DA11" s="245"/>
      <c r="DB11" s="245"/>
      <c r="DC11" s="245"/>
      <c r="DD11" s="245"/>
      <c r="DE11" s="245"/>
      <c r="DF11" s="245"/>
      <c r="DG11" s="245"/>
      <c r="DH11" s="245"/>
      <c r="DI11" s="245"/>
      <c r="DJ11" s="245"/>
      <c r="DK11" s="245"/>
      <c r="DL11" s="245"/>
      <c r="DM11" s="245"/>
      <c r="DN11" s="245"/>
      <c r="DO11" s="245"/>
      <c r="DP11" s="245"/>
      <c r="DQ11" s="245"/>
      <c r="DR11" s="245"/>
      <c r="DS11" s="245"/>
      <c r="DT11" s="245"/>
      <c r="DU11" s="245"/>
      <c r="DV11" s="245"/>
      <c r="DW11" s="245"/>
      <c r="DX11" s="245"/>
      <c r="DY11" s="245"/>
      <c r="DZ11" s="245"/>
      <c r="EA11" s="245"/>
      <c r="EB11" s="245"/>
      <c r="EC11" s="245"/>
      <c r="ED11" s="245"/>
      <c r="EE11" s="245"/>
      <c r="EF11" s="245"/>
      <c r="EG11" s="245"/>
      <c r="EH11" s="245"/>
      <c r="EI11" s="245"/>
      <c r="EJ11" s="245"/>
      <c r="EK11" s="245"/>
      <c r="EL11" s="245"/>
      <c r="EM11" s="245"/>
      <c r="EN11" s="245"/>
      <c r="EO11" s="245"/>
      <c r="EP11" s="245"/>
      <c r="EQ11" s="245"/>
      <c r="ER11" s="245"/>
      <c r="ES11" s="245"/>
      <c r="ET11" s="245"/>
      <c r="EU11" s="245"/>
      <c r="EV11" s="245"/>
      <c r="EW11" s="245"/>
      <c r="EX11" s="245"/>
      <c r="EY11" s="245"/>
      <c r="EZ11" s="245"/>
      <c r="FA11" s="245"/>
      <c r="FB11" s="245"/>
      <c r="FC11" s="245"/>
      <c r="FD11" s="245"/>
      <c r="FE11" s="245"/>
      <c r="FF11" s="245"/>
      <c r="FG11" s="245"/>
      <c r="FH11" s="245"/>
      <c r="FI11" s="245"/>
      <c r="FJ11" s="245"/>
      <c r="FK11" s="245"/>
      <c r="FL11" s="245"/>
      <c r="FM11" s="245"/>
      <c r="FN11" s="245"/>
      <c r="FO11" s="245"/>
      <c r="FP11" s="245"/>
      <c r="FQ11" s="245"/>
      <c r="FR11" s="245"/>
      <c r="FS11" s="245"/>
      <c r="FT11" s="245"/>
      <c r="FU11" s="245"/>
      <c r="FV11" s="245"/>
      <c r="FW11" s="245"/>
      <c r="FX11" s="245"/>
      <c r="FY11" s="245"/>
      <c r="FZ11" s="245"/>
      <c r="GA11" s="245"/>
      <c r="GB11" s="245"/>
      <c r="GC11" s="245"/>
      <c r="GD11" s="245"/>
      <c r="GE11" s="245"/>
      <c r="GF11" s="245"/>
      <c r="GG11" s="245"/>
      <c r="GH11" s="245"/>
      <c r="GI11" s="245"/>
      <c r="GJ11" s="245"/>
      <c r="GK11" s="245"/>
      <c r="GL11" s="245"/>
      <c r="GM11" s="245"/>
      <c r="GN11" s="245"/>
      <c r="GO11" s="245"/>
      <c r="GP11" s="245"/>
      <c r="GQ11" s="245"/>
      <c r="GR11" s="245"/>
      <c r="GS11" s="245"/>
      <c r="GT11" s="245"/>
      <c r="GU11" s="245"/>
      <c r="GV11" s="245"/>
      <c r="GW11" s="245"/>
      <c r="GX11" s="245"/>
      <c r="GY11" s="245"/>
      <c r="GZ11" s="245"/>
      <c r="HA11" s="245"/>
      <c r="HB11" s="245"/>
      <c r="HC11" s="245"/>
      <c r="HD11" s="245"/>
      <c r="HE11" s="245"/>
      <c r="HF11" s="245"/>
      <c r="HG11" s="245"/>
      <c r="HH11" s="245"/>
      <c r="HI11" s="245"/>
      <c r="HJ11" s="245"/>
      <c r="HK11" s="245"/>
      <c r="HL11" s="245"/>
      <c r="HM11" s="245"/>
      <c r="HN11" s="245"/>
      <c r="HO11" s="245"/>
      <c r="HP11" s="245"/>
      <c r="HQ11" s="245"/>
      <c r="HR11" s="245"/>
      <c r="HS11" s="245"/>
      <c r="HT11" s="245"/>
      <c r="HU11" s="245"/>
      <c r="HV11" s="245"/>
      <c r="HW11" s="245"/>
      <c r="HX11" s="245"/>
      <c r="HY11" s="245"/>
      <c r="HZ11" s="245"/>
      <c r="IA11" s="245"/>
      <c r="IB11" s="245"/>
      <c r="IC11" s="245"/>
      <c r="ID11" s="245"/>
      <c r="IE11" s="245"/>
      <c r="IF11" s="245"/>
      <c r="IG11" s="245"/>
      <c r="IH11" s="245"/>
      <c r="II11" s="245"/>
      <c r="IJ11" s="245"/>
      <c r="IK11" s="245"/>
      <c r="IL11" s="245"/>
      <c r="IM11" s="245"/>
      <c r="IN11" s="245"/>
      <c r="IO11" s="245"/>
      <c r="IP11" s="245"/>
    </row>
    <row r="12" spans="1:250" ht="26.25" thickBot="1" x14ac:dyDescent="0.25">
      <c r="A12" s="294" t="s">
        <v>178</v>
      </c>
      <c r="B12" s="277" t="s">
        <v>179</v>
      </c>
      <c r="C12" s="278" t="s">
        <v>9</v>
      </c>
      <c r="D12" s="277" t="s">
        <v>4</v>
      </c>
      <c r="E12" s="279" t="s">
        <v>180</v>
      </c>
      <c r="F12" s="280" t="s">
        <v>0</v>
      </c>
      <c r="G12" s="264" t="s">
        <v>6</v>
      </c>
      <c r="H12" s="241"/>
      <c r="I12" s="270">
        <v>0.3</v>
      </c>
      <c r="J12" s="270">
        <v>5.6000000000000001E-2</v>
      </c>
      <c r="K12" s="270">
        <v>16.8</v>
      </c>
      <c r="L12" s="275">
        <f>J12-(J12-J13)*(M16-I12)/(I13-I12)</f>
        <v>6.6207500000000002E-2</v>
      </c>
      <c r="M12" s="276"/>
      <c r="N12" s="276"/>
      <c r="O12" s="317"/>
    </row>
    <row r="13" spans="1:250" ht="14.25" thickBot="1" x14ac:dyDescent="0.25">
      <c r="A13" s="294"/>
      <c r="B13" s="281"/>
      <c r="C13" s="261"/>
      <c r="D13" s="295"/>
      <c r="E13" s="262"/>
      <c r="F13" s="263"/>
      <c r="G13" s="264"/>
      <c r="H13" s="241"/>
      <c r="I13" s="270">
        <v>0.4</v>
      </c>
      <c r="J13" s="270">
        <v>4.5999999999999999E-2</v>
      </c>
      <c r="K13" s="270">
        <v>18.399999999999999</v>
      </c>
      <c r="L13" s="275">
        <f>J13-(J13-J14)*(M16-I13)/(I14-I13)</f>
        <v>6.0145250000000004E-2</v>
      </c>
      <c r="M13" s="276"/>
      <c r="N13" s="276"/>
      <c r="O13" s="317"/>
    </row>
    <row r="14" spans="1:250" s="65" customFormat="1" ht="39" thickBot="1" x14ac:dyDescent="0.25">
      <c r="A14" s="265">
        <v>1</v>
      </c>
      <c r="B14" s="282" t="s">
        <v>181</v>
      </c>
      <c r="C14" s="392">
        <f>Т.с.!I58+'ООС+ТР'!H73</f>
        <v>306784.08</v>
      </c>
      <c r="D14" s="296"/>
      <c r="E14" s="283"/>
      <c r="F14" s="284"/>
      <c r="G14" s="285"/>
      <c r="H14" s="241"/>
      <c r="I14" s="270">
        <v>0.5</v>
      </c>
      <c r="J14" s="270">
        <v>3.9E-2</v>
      </c>
      <c r="K14" s="270">
        <v>19.5</v>
      </c>
      <c r="L14" s="275">
        <f>J14-(J14-J16)*(M16-I14)/(I16-I14)</f>
        <v>5.108299999999999E-2</v>
      </c>
      <c r="M14" s="276"/>
      <c r="N14" s="276"/>
      <c r="O14" s="317"/>
    </row>
    <row r="15" spans="1:250" s="65" customFormat="1" ht="30.75" hidden="1" customHeight="1" thickBot="1" x14ac:dyDescent="0.25">
      <c r="A15" s="266"/>
      <c r="B15" s="686" t="s">
        <v>182</v>
      </c>
      <c r="C15" s="693"/>
      <c r="D15" s="286" t="s">
        <v>183</v>
      </c>
      <c r="E15" s="283">
        <v>1</v>
      </c>
      <c r="F15" s="284" t="s">
        <v>188</v>
      </c>
      <c r="G15" s="285">
        <v>287966.15000000002</v>
      </c>
      <c r="M15" s="276"/>
      <c r="N15" s="276"/>
      <c r="O15" s="317"/>
    </row>
    <row r="16" spans="1:250" s="65" customFormat="1" ht="39" thickBot="1" x14ac:dyDescent="0.25">
      <c r="A16" s="266"/>
      <c r="B16" s="686" t="s">
        <v>184</v>
      </c>
      <c r="C16" s="687"/>
      <c r="D16" s="293" t="s">
        <v>185</v>
      </c>
      <c r="E16" s="303">
        <v>1.55</v>
      </c>
      <c r="F16" s="303" t="str">
        <f>CONCATENATE(C14,"/",1.55)</f>
        <v>306784,08/1,55</v>
      </c>
      <c r="G16" s="393">
        <f>ROUND(C14/1.55,0)</f>
        <v>197925</v>
      </c>
      <c r="H16" s="241"/>
      <c r="I16" s="270">
        <v>0.6</v>
      </c>
      <c r="J16" s="270">
        <v>3.5000000000000003E-2</v>
      </c>
      <c r="K16" s="270">
        <v>21</v>
      </c>
      <c r="L16" s="275">
        <f>J16-(J16-J17)*(M16-I16)/(I17-I16)</f>
        <v>5.1083000000000017E-2</v>
      </c>
      <c r="M16" s="322">
        <f>G16/1000000</f>
        <v>0.19792499999999999</v>
      </c>
      <c r="N16" s="276"/>
      <c r="O16" s="317"/>
    </row>
    <row r="17" spans="1:15" s="65" customFormat="1" ht="26.25" thickBot="1" x14ac:dyDescent="0.25">
      <c r="A17" s="266"/>
      <c r="B17" s="686" t="s">
        <v>186</v>
      </c>
      <c r="C17" s="687"/>
      <c r="D17" s="144" t="s">
        <v>203</v>
      </c>
      <c r="E17" s="287">
        <f>ROUND(L9,4)</f>
        <v>6.7299999999999999E-2</v>
      </c>
      <c r="F17" s="144" t="str">
        <f>CONCATENATE(G16,"*",E17,"*",1.55)</f>
        <v>197925*0,0673*1,55</v>
      </c>
      <c r="G17" s="394">
        <f>ROUND(G16*E17*1.55,0)</f>
        <v>20647</v>
      </c>
      <c r="H17" s="241"/>
      <c r="I17" s="270">
        <v>0.7</v>
      </c>
      <c r="J17" s="270">
        <v>3.1E-2</v>
      </c>
      <c r="K17" s="270">
        <v>21.7</v>
      </c>
      <c r="L17" s="275">
        <f>J17-(J17-J18)*(M16-I17)/(I18-I17)</f>
        <v>4.1041499999999981E-2</v>
      </c>
      <c r="M17" s="276"/>
      <c r="N17" s="276"/>
      <c r="O17" s="317"/>
    </row>
    <row r="18" spans="1:15" ht="13.5" x14ac:dyDescent="0.2">
      <c r="H18" s="241"/>
      <c r="I18" s="270">
        <v>0.8</v>
      </c>
      <c r="J18" s="270">
        <v>2.9000000000000001E-2</v>
      </c>
      <c r="K18" s="270">
        <v>23.2</v>
      </c>
      <c r="L18" s="275">
        <f>J18-(J18-J19)*(M16-I18)/(I19-I18)</f>
        <v>4.7062250000000021E-2</v>
      </c>
      <c r="M18" s="276"/>
      <c r="O18" s="317"/>
    </row>
    <row r="19" spans="1:15" ht="13.5" x14ac:dyDescent="0.2">
      <c r="H19" s="241"/>
      <c r="I19" s="270">
        <v>0.9</v>
      </c>
      <c r="J19" s="270">
        <v>2.5999999999999999E-2</v>
      </c>
      <c r="K19" s="270">
        <v>23.4</v>
      </c>
      <c r="L19" s="275">
        <f>J19-(J19-J20)*(M16-I19)/(I20-I19)</f>
        <v>4.0041499999999994E-2</v>
      </c>
      <c r="M19" s="276"/>
      <c r="N19" s="276"/>
      <c r="O19" s="317"/>
    </row>
    <row r="20" spans="1:15" ht="13.5" x14ac:dyDescent="0.2">
      <c r="H20" s="241"/>
      <c r="I20" s="270">
        <v>1</v>
      </c>
      <c r="J20" s="270">
        <v>2.4E-2</v>
      </c>
      <c r="K20" s="270">
        <v>24</v>
      </c>
      <c r="L20" s="275">
        <f>J20-(J20-J21)*(M16-I20)/(I21-I20)</f>
        <v>3.2020750000000001E-2</v>
      </c>
      <c r="M20" s="241"/>
      <c r="O20" s="317"/>
    </row>
    <row r="21" spans="1:15" ht="13.5" x14ac:dyDescent="0.2">
      <c r="H21" s="241"/>
      <c r="I21" s="270">
        <v>1.1000000000000001</v>
      </c>
      <c r="J21" s="270">
        <v>2.3E-2</v>
      </c>
      <c r="K21" s="270">
        <v>25.3</v>
      </c>
      <c r="L21" s="275">
        <f>J21-(J21-J22)*(M16-I21)/(I22-I21)</f>
        <v>3.2020750000000021E-2</v>
      </c>
      <c r="M21" s="241"/>
      <c r="O21" s="317"/>
    </row>
    <row r="22" spans="1:15" ht="13.5" x14ac:dyDescent="0.2">
      <c r="H22" s="241"/>
      <c r="I22" s="270">
        <v>1.2</v>
      </c>
      <c r="J22" s="270">
        <v>2.1999999999999999E-2</v>
      </c>
      <c r="K22" s="270">
        <v>26.4</v>
      </c>
      <c r="L22" s="275">
        <f>J22-(J22-J23)*(M16-I22)/(I23-I22)</f>
        <v>2.7010375E-2</v>
      </c>
      <c r="M22" s="241"/>
      <c r="N22" s="317"/>
      <c r="O22" s="317"/>
    </row>
    <row r="23" spans="1:15" ht="13.5" x14ac:dyDescent="0.2">
      <c r="H23" s="241"/>
      <c r="I23" s="270">
        <v>1.3</v>
      </c>
      <c r="J23" s="270">
        <v>2.1499999999999998E-2</v>
      </c>
      <c r="K23" s="270">
        <v>27.3</v>
      </c>
      <c r="L23" s="275">
        <f>J23-(J23-J24)*(M16-I23)/(I24-I23)</f>
        <v>-2.0889736250000031</v>
      </c>
      <c r="M23" s="241"/>
      <c r="O23" s="317"/>
    </row>
    <row r="24" spans="1:15" ht="13.5" x14ac:dyDescent="0.2">
      <c r="H24" s="241"/>
      <c r="I24" s="270">
        <v>1.4</v>
      </c>
      <c r="J24" s="270">
        <v>0.21299999999999999</v>
      </c>
      <c r="K24" s="270">
        <v>29.8</v>
      </c>
      <c r="L24" s="275">
        <f>J24-(J24-J25)*(M16-I24)/(I25-I24)</f>
        <v>2.5209839999999981</v>
      </c>
      <c r="M24" s="241"/>
      <c r="N24" s="317"/>
      <c r="O24" s="317"/>
    </row>
    <row r="25" spans="1:15" ht="13.5" x14ac:dyDescent="0.2">
      <c r="H25" s="241"/>
      <c r="I25" s="270">
        <v>1.5</v>
      </c>
      <c r="J25" s="270">
        <v>2.1000000000000001E-2</v>
      </c>
      <c r="K25" s="270">
        <v>31.5</v>
      </c>
      <c r="L25" s="275">
        <f>J25-(J25-J26)*(M16-I25)/(I26-I25)</f>
        <v>2.6208300000000007E-2</v>
      </c>
      <c r="M25" s="241"/>
      <c r="N25" s="317"/>
      <c r="O25" s="317"/>
    </row>
    <row r="26" spans="1:15" ht="13.5" x14ac:dyDescent="0.2">
      <c r="H26" s="241"/>
      <c r="I26" s="270">
        <v>2</v>
      </c>
      <c r="J26" s="270">
        <v>1.9E-2</v>
      </c>
      <c r="K26" s="270">
        <v>38</v>
      </c>
      <c r="L26" s="275">
        <f>J26-(J26-J27)*(M16-I26)/(I27-I26)</f>
        <v>1.9E-2</v>
      </c>
      <c r="M26" s="241"/>
      <c r="N26" s="317"/>
      <c r="O26" s="317"/>
    </row>
    <row r="27" spans="1:15" ht="13.5" x14ac:dyDescent="0.2">
      <c r="H27" s="241"/>
      <c r="I27" s="270">
        <v>3</v>
      </c>
      <c r="J27" s="270">
        <v>1.9E-2</v>
      </c>
      <c r="K27" s="270">
        <v>45</v>
      </c>
      <c r="L27" s="275">
        <f>J27-(J27-J28)*(M16-I27)/(I28-I27)</f>
        <v>3.8614524999999997E-2</v>
      </c>
      <c r="M27" s="241"/>
      <c r="N27" s="317"/>
      <c r="O27" s="317"/>
    </row>
    <row r="28" spans="1:15" ht="13.5" x14ac:dyDescent="0.2">
      <c r="H28" s="241"/>
      <c r="I28" s="270">
        <v>4</v>
      </c>
      <c r="J28" s="270">
        <v>1.2E-2</v>
      </c>
      <c r="K28" s="270">
        <v>48</v>
      </c>
      <c r="L28" s="275">
        <f>J28-(J28-J29)*(M16-I28)/(I29-I28)</f>
        <v>1.5802075000000002E-2</v>
      </c>
      <c r="M28" s="241"/>
      <c r="N28" s="317"/>
      <c r="O28" s="317"/>
    </row>
    <row r="29" spans="1:15" ht="13.5" x14ac:dyDescent="0.2">
      <c r="H29" s="241"/>
      <c r="I29" s="270">
        <v>5</v>
      </c>
      <c r="J29" s="270">
        <v>1.0999999999999999E-2</v>
      </c>
      <c r="K29" s="270">
        <v>55</v>
      </c>
      <c r="L29" s="275">
        <f>J29-(J29-J30)*(M16-I29)/(I30-I29)</f>
        <v>1.3401037499999994E-2</v>
      </c>
      <c r="M29" s="241"/>
      <c r="N29" s="317"/>
      <c r="O29" s="317"/>
    </row>
    <row r="30" spans="1:15" ht="13.5" x14ac:dyDescent="0.2">
      <c r="H30" s="241"/>
      <c r="I30" s="270">
        <v>6</v>
      </c>
      <c r="J30" s="270">
        <v>1.0500000000000001E-2</v>
      </c>
      <c r="K30" s="270">
        <v>63</v>
      </c>
      <c r="L30" s="275">
        <f>J30-(J30-J31)*(M16-I30)/(I31-I30)</f>
        <v>1.3401037500000004E-2</v>
      </c>
      <c r="M30" s="241"/>
      <c r="N30" s="317"/>
      <c r="O30" s="317"/>
    </row>
    <row r="31" spans="1:15" ht="13.5" x14ac:dyDescent="0.2">
      <c r="H31" s="241"/>
      <c r="I31" s="270">
        <v>7</v>
      </c>
      <c r="J31" s="270">
        <v>0.01</v>
      </c>
      <c r="K31" s="270">
        <v>70</v>
      </c>
      <c r="L31" s="275">
        <f>J31-(J31-J32)*(M16-I31)/(I32-I31)</f>
        <v>1.4081244999999999E-2</v>
      </c>
      <c r="M31" s="241"/>
      <c r="N31" s="317"/>
      <c r="O31" s="317"/>
    </row>
    <row r="32" spans="1:15" ht="13.5" x14ac:dyDescent="0.2">
      <c r="H32" s="241"/>
      <c r="I32" s="270">
        <v>8</v>
      </c>
      <c r="J32" s="270">
        <v>9.4000000000000004E-3</v>
      </c>
      <c r="K32" s="270">
        <v>78.400000000000006</v>
      </c>
      <c r="L32" s="275">
        <f>J32-(J32-J33)*(M16-I32)/(I33-I32)</f>
        <v>6.2791700000000058E-3</v>
      </c>
      <c r="M32" s="241"/>
      <c r="N32" s="317"/>
      <c r="O32" s="317"/>
    </row>
    <row r="33" spans="8:15" ht="13.5" x14ac:dyDescent="0.2">
      <c r="H33" s="241"/>
      <c r="I33" s="270">
        <v>9</v>
      </c>
      <c r="J33" s="270">
        <v>9.7999999999999997E-3</v>
      </c>
      <c r="K33" s="270">
        <v>85.5</v>
      </c>
      <c r="L33" s="275">
        <f>J33-(J33-J34)*(M16-I33)/(I34-I33)</f>
        <v>1.2440622499999998E-2</v>
      </c>
      <c r="M33" s="241"/>
      <c r="N33" s="317"/>
      <c r="O33" s="317"/>
    </row>
    <row r="34" spans="8:15" ht="13.5" x14ac:dyDescent="0.2">
      <c r="H34" s="241"/>
      <c r="I34" s="270">
        <v>10</v>
      </c>
      <c r="J34" s="270">
        <v>9.4999999999999998E-3</v>
      </c>
      <c r="K34" s="270">
        <v>95</v>
      </c>
      <c r="L34" s="275" t="e">
        <f>J34-(J34-J35)*(M16-I34)/(I35-I34)</f>
        <v>#DIV/0!</v>
      </c>
      <c r="M34" s="241"/>
      <c r="N34" s="317"/>
      <c r="O34" s="317"/>
    </row>
    <row r="35" spans="8:15" ht="13.5" x14ac:dyDescent="0.2">
      <c r="H35" s="241"/>
      <c r="I35" s="270">
        <v>10</v>
      </c>
      <c r="J35" s="270">
        <v>8.9999999999999993E-3</v>
      </c>
      <c r="K35" s="270">
        <v>90</v>
      </c>
      <c r="L35" s="275" t="e">
        <f>J35-(J35-#REF!)*(M16-I35)/(#REF!-I35)</f>
        <v>#REF!</v>
      </c>
      <c r="M35" s="241"/>
      <c r="N35" s="317"/>
      <c r="O35" s="317"/>
    </row>
    <row r="36" spans="8:15" x14ac:dyDescent="0.2">
      <c r="H36" s="241"/>
      <c r="I36" s="288" t="s">
        <v>198</v>
      </c>
      <c r="J36" s="241"/>
      <c r="K36" s="241"/>
      <c r="L36" s="323"/>
      <c r="M36" s="241"/>
      <c r="N36" s="317"/>
      <c r="O36" s="317"/>
    </row>
    <row r="37" spans="8:15" x14ac:dyDescent="0.2">
      <c r="H37" s="241"/>
      <c r="I37" s="241"/>
      <c r="J37" s="241"/>
      <c r="K37" s="241"/>
      <c r="L37" s="323"/>
      <c r="M37" s="241"/>
      <c r="N37" s="317"/>
      <c r="O37" s="317"/>
    </row>
    <row r="38" spans="8:15" x14ac:dyDescent="0.2">
      <c r="H38" s="241"/>
      <c r="I38" s="241"/>
      <c r="J38" s="241"/>
      <c r="K38" s="241"/>
      <c r="L38" s="323"/>
      <c r="M38" s="241"/>
      <c r="N38" s="317"/>
      <c r="O38" s="317"/>
    </row>
    <row r="39" spans="8:15" x14ac:dyDescent="0.2">
      <c r="N39" s="317"/>
      <c r="O39" s="317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 ССР</vt:lpstr>
      <vt:lpstr>Т.с.</vt:lpstr>
      <vt:lpstr>Геол, экол, геод</vt:lpstr>
      <vt:lpstr>ООС+ТР</vt:lpstr>
      <vt:lpstr>ПОЖ</vt:lpstr>
      <vt:lpstr>СОГЛ</vt:lpstr>
      <vt:lpstr>'ООС+ТР'!Заголовки_для_печати</vt:lpstr>
      <vt:lpstr>Т.с.!Заголовки_для_печати</vt:lpstr>
      <vt:lpstr>' ССР'!Область_печати</vt:lpstr>
      <vt:lpstr>'Геол, экол, геод'!Область_печати</vt:lpstr>
      <vt:lpstr>'ООС+ТР'!Область_печати</vt:lpstr>
      <vt:lpstr>ПОЖ!Область_печати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Проскурина Наталья Сергеевна</cp:lastModifiedBy>
  <cp:lastPrinted>2017-01-11T12:51:25Z</cp:lastPrinted>
  <dcterms:created xsi:type="dcterms:W3CDTF">2004-03-03T10:32:04Z</dcterms:created>
  <dcterms:modified xsi:type="dcterms:W3CDTF">2017-02-09T13:55:17Z</dcterms:modified>
</cp:coreProperties>
</file>