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Т.с.!$A$1:$H$68</definedName>
  </definedNames>
  <calcPr calcId="145621"/>
</workbook>
</file>

<file path=xl/calcChain.xml><?xml version="1.0" encoding="utf-8"?>
<calcChain xmlns="http://schemas.openxmlformats.org/spreadsheetml/2006/main">
  <c r="D20" i="71" l="1"/>
  <c r="C25" i="62"/>
  <c r="D25" i="62" l="1"/>
  <c r="D30" i="62"/>
  <c r="H30" i="62" s="1"/>
  <c r="H25" i="62" l="1"/>
  <c r="G25" i="62"/>
  <c r="G30" i="62"/>
  <c r="C17" i="62" l="1"/>
  <c r="D17" i="62" s="1"/>
  <c r="C35" i="62" l="1"/>
  <c r="H22" i="62"/>
  <c r="H21" i="62"/>
  <c r="G22" i="62"/>
  <c r="G21" i="62"/>
  <c r="H59" i="62" l="1"/>
  <c r="G59" i="62"/>
  <c r="H58" i="62"/>
  <c r="G58" i="62"/>
  <c r="H57" i="62"/>
  <c r="G57" i="62"/>
  <c r="H56" i="62"/>
  <c r="G56" i="62"/>
  <c r="H55" i="62"/>
  <c r="H60" i="62" s="1"/>
  <c r="G55" i="62"/>
  <c r="H15" i="74" l="1"/>
  <c r="G15" i="74"/>
  <c r="H14" i="74"/>
  <c r="G14" i="74"/>
  <c r="A8" i="62" l="1"/>
  <c r="C51" i="62" l="1"/>
  <c r="D35" i="62" l="1"/>
  <c r="H35" i="62" l="1"/>
  <c r="H39" i="62" s="1"/>
  <c r="G35" i="62"/>
  <c r="A9" i="72" l="1"/>
  <c r="A7" i="75"/>
  <c r="A9" i="71"/>
  <c r="A9" i="74"/>
  <c r="A7" i="63"/>
  <c r="D17" i="75" l="1"/>
  <c r="G17" i="75" s="1"/>
  <c r="G13" i="75"/>
  <c r="D13" i="75"/>
  <c r="H13" i="75" s="1"/>
  <c r="H17" i="75" l="1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52" i="62" l="1"/>
  <c r="C53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40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40" i="62"/>
  <c r="G19" i="63"/>
  <c r="D12" i="76" l="1"/>
  <c r="G11" i="76"/>
  <c r="G12" i="76" s="1"/>
  <c r="G26" i="63"/>
  <c r="G19" i="71"/>
  <c r="G36" i="63"/>
  <c r="G37" i="63" s="1"/>
  <c r="C45" i="62"/>
  <c r="D45" i="62" s="1"/>
  <c r="G45" i="62" s="1"/>
  <c r="H45" i="62" s="1"/>
  <c r="H48" i="62" s="1"/>
  <c r="H61" i="62" s="1"/>
  <c r="D14" i="76" s="1"/>
  <c r="G14" i="76" l="1"/>
  <c r="I61" i="62"/>
  <c r="C14" i="72" l="1"/>
  <c r="G16" i="72" s="1"/>
  <c r="H62" i="62"/>
  <c r="G62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E17" i="72" s="1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<sst xmlns="http://schemas.openxmlformats.org/spreadsheetml/2006/main" count="410" uniqueCount="331">
  <si>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</si>
  <si>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</si>
  <si>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</si>
  <si>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</si>
  <si>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</si>
  <si>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</si>
  <si>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</si>
  <si>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</si>
  <si>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</si>
  <si>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</si>
  <si>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</si>
  <si>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</si>
  <si>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</si>
  <si>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</si>
  <si>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</si>
  <si>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</si>
  <si>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</si>
  <si>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</si>
  <si>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</si>
  <si>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</si>
  <si>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</si>
  <si>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</si>
  <si>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</si>
  <si>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</si>
  <si>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</si>
  <si>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</si>
  <si>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</si>
  <si>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</si>
  <si>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</si>
  <si>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</si>
  <si>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</si>
  <si>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</si>
  <si>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</si>
  <si>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</si>
  <si>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</si>
  <si>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</si>
  <si>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</si>
  <si>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</si>
  <si>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</si>
  <si>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</si>
  <si>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</si>
  <si>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</si>
  <si>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</si>
  <si>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</si>
  <si>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</si>
  <si>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</si>
  <si>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</si>
  <si>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</si>
  <si>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</si>
  <si>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</si>
  <si>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</si>
  <si>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</si>
  <si>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</si>
  <si>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</si>
  <si>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</si>
  <si>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</si>
  <si>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</si>
  <si>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</si>
  <si>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</si>
  <si>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</si>
  <si>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</si>
  <si>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</si>
  <si>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</si>
  <si>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</si>
  <si>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</si>
  <si>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</si>
  <si>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</si>
  <si>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</si>
  <si>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</si>
  <si>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</si>
  <si>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</si>
  <si>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</si>
  <si>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</si>
  <si>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</si>
  <si>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</si>
  <si>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</si>
  <si>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</si>
  <si>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</si>
  <si>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</si>
  <si>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</si>
  <si>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</si>
  <si>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</si>
  <si>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</si>
  <si>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</si>
  <si>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</si>
  <si>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</si>
  <si>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</si>
  <si>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</si>
  <si>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</si>
  <si>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</si>
  <si>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</si>
  <si>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</si>
  <si>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</si>
  <si>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</si>
  <si>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</si>
  <si>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</si>
  <si>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</si>
  <si>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</si>
  <si>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</si>
  <si>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</si>
  <si>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</si>
  <si>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</si>
  <si>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</si>
  <si>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</si>
  <si>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</si>
  <si>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</si>
  <si>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</si>
  <si>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</si>
  <si>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</si>
  <si>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</si>
  <si>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</si>
  <si>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</si>
  <si>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</si>
  <si>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</si>
  <si>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</si>
  <si>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</si>
  <si>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</si>
  <si>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</si>
  <si>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</si>
  <si>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</si>
  <si>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</si>
  <si>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</si>
  <si>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</si>
  <si>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</si>
  <si>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</si>
  <si>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</si>
  <si>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</si>
  <si>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</si>
  <si>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</si>
  <si>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</si>
  <si>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</si>
  <si>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</si>
  <si>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</si>
  <si>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</si>
  <si>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</si>
  <si>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</si>
  <si>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</si>
  <si>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</si>
  <si>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</si>
  <si>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</si>
  <si>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</si>
  <si>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</si>
  <si>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</si>
  <si>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</si>
  <si>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</si>
  <si>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</si>
  <si>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</si>
  <si>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</si>
  <si>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</si>
  <si>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</si>
  <si>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</si>
  <si>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</si>
  <si>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</si>
  <si>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</si>
  <si>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</si>
  <si>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</si>
  <si>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</si>
  <si>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</si>
  <si>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</si>
  <si>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</si>
  <si>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</si>
  <si>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</si>
  <si>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</si>
  <si>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</si>
  <si>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</si>
  <si>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</si>
  <si>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</si>
  <si>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</si>
  <si>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</si>
  <si>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</si>
  <si>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</si>
  <si>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</si>
  <si>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</si>
  <si>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</si>
  <si>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</si>
  <si>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</si>
  <si>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</si>
  <si>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</si>
  <si>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</si>
  <si>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</si>
  <si>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</si>
  <si>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</si>
  <si>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</si>
  <si>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</si>
  <si>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</si>
  <si>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</si>
  <si>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</si>
  <si>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</si>
  <si>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</si>
  <si>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</si>
  <si>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</si>
  <si>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</si>
  <si>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</si>
  <si>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</si>
  <si>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</si>
  <si>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</si>
  <si>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</si>
  <si>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</si>
  <si>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</si>
  <si>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</si>
  <si>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</si>
  <si>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</si>
  <si>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</si>
  <si>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</si>
  <si>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</si>
  <si>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</si>
  <si>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</si>
  <si>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</si>
  <si>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</si>
  <si>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</si>
  <si>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</si>
  <si>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</si>
  <si>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</si>
  <si>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</si>
  <si>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</si>
  <si>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</si>
  <si>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</si>
  <si>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</si>
  <si>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</si>
  <si>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</si>
  <si>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</si>
  <si>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</si>
  <si>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</si>
  <si>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</si>
  <si>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</si>
  <si>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</si>
  <si>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</si>
  <si>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</si>
  <si>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</si>
  <si>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</si>
  <si>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</si>
  <si>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</si>
  <si>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</si>
  <si>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</si>
  <si>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</si>
  <si>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</si>
  <si>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</si>
  <si>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</si>
  <si>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</si>
  <si>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</si>
  <si>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</si>
  <si>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</si>
  <si>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</si>
  <si>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</si>
  <si>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</si>
  <si>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</si>
  <si>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</si>
  <si>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</si>
  <si>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</si>
  <si>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</si>
  <si>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</si>
  <si>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</si>
  <si>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</si>
  <si>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</si>
  <si>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</si>
  <si>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</si>
  <si>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</si>
  <si>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</si>
  <si>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</si>
  <si>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</si>
  <si>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</si>
  <si>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</si>
  <si>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</si>
  <si>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</si>
  <si>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</si>
  <si>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</si>
  <si>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</si>
  <si>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</si>
  <si>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</si>
  <si>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</si>
  <si>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</si>
  <si>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</si>
  <si>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</si>
  <si>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</si>
  <si>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</si>
  <si>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</si>
  <si>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</si>
  <si>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</si>
  <si>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</si>
  <si>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</si>
  <si>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</si>
  <si>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</si>
  <si>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</si>
  <si>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</si>
  <si>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</si>
  <si>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</si>
  <si>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</si>
  <si>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</si>
  <si>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</si>
  <si>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</si>
  <si>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</si>
  <si>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</si>
  <si>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</si>
  <si>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</si>
  <si>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</si>
  <si>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</si>
  <si>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</si>
  <si>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</si>
  <si>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</si>
  <si>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</si>
  <si>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</si>
  <si>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</si>
  <si>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</si>
  <si>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</si>
  <si>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</si>
  <si>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</si>
  <si>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</si>
  <si>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</si>
  <si>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</si>
  <si>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</si>
  <si>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</si>
  <si>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</si>
  <si>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</si>
  <si>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</si>
  <si>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</si>
  <si>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</si>
  <si>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</si>
  <si>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</si>
  <si>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</si>
  <si>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</si>
  <si>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</si>
  <si>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</si>
  <si>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</si>
  <si>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(табл.3.10.4 п.12а)  Ц(б)2000 = а,  где а=</t>
  </si>
  <si>
    <t xml:space="preserve">Тепловая камера - реконструкция </t>
  </si>
  <si>
    <t>К - реконструкция 4.5.1. п.6.3</t>
  </si>
  <si>
    <t>в монолитном непроходном канале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</si>
  <si>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t>
  </si>
  <si>
    <t>2Ду100мм</t>
  </si>
  <si>
    <t>Монолитная 6,2*5,6*2,5м</t>
  </si>
  <si>
    <t>строительная часть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</si>
</sst>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1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42" xfId="0" applyFont="1" applyFill="1" applyBorder="1" applyAlignment="1">
      <alignment horizontal="center" vertical="center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K15" sqref="K15"/>
    </sheetView>
  </sheetViews>
  <sheetFormatPr defaultColWidth="9.140625" defaultRowHeight="15" x14ac:dyDescent="0.2"/>
  <cols>
    <col min="1" max="1" width="4.7109375" style="538" customWidth="1"/>
    <col min="2" max="2" width="38.140625" style="538" customWidth="1"/>
    <col min="3" max="3" width="10.7109375" style="548" customWidth="1"/>
    <col min="4" max="4" width="16.28515625" style="538" customWidth="1"/>
    <col min="5" max="5" width="35" style="540" customWidth="1"/>
    <col min="6" max="6" width="11.85546875" style="538" customWidth="1"/>
    <col min="7" max="7" width="17.42578125" style="538" customWidth="1"/>
    <col min="8" max="8" width="11.28515625" style="538" bestFit="1" customWidth="1"/>
    <col min="9" max="256" width="9.140625" style="538"/>
    <col min="257" max="257" width="4.7109375" style="538" customWidth="1"/>
    <col min="258" max="258" width="44.85546875" style="538" customWidth="1"/>
    <col min="259" max="259" width="14.5703125" style="538" customWidth="1"/>
    <col min="260" max="260" width="16.28515625" style="538" customWidth="1"/>
    <col min="261" max="261" width="38.7109375" style="538" customWidth="1"/>
    <col min="262" max="262" width="12.7109375" style="538" customWidth="1"/>
    <col min="263" max="263" width="17.42578125" style="538" customWidth="1"/>
    <col min="264" max="264" width="11.28515625" style="538" bestFit="1" customWidth="1"/>
    <col min="265" max="512" width="9.140625" style="538"/>
    <col min="513" max="513" width="4.7109375" style="538" customWidth="1"/>
    <col min="514" max="514" width="44.85546875" style="538" customWidth="1"/>
    <col min="515" max="515" width="14.5703125" style="538" customWidth="1"/>
    <col min="516" max="516" width="16.28515625" style="538" customWidth="1"/>
    <col min="517" max="517" width="38.7109375" style="538" customWidth="1"/>
    <col min="518" max="518" width="12.7109375" style="538" customWidth="1"/>
    <col min="519" max="519" width="17.42578125" style="538" customWidth="1"/>
    <col min="520" max="520" width="11.28515625" style="538" bestFit="1" customWidth="1"/>
    <col min="521" max="768" width="9.140625" style="538"/>
    <col min="769" max="769" width="4.7109375" style="538" customWidth="1"/>
    <col min="770" max="770" width="44.85546875" style="538" customWidth="1"/>
    <col min="771" max="771" width="14.5703125" style="538" customWidth="1"/>
    <col min="772" max="772" width="16.28515625" style="538" customWidth="1"/>
    <col min="773" max="773" width="38.7109375" style="538" customWidth="1"/>
    <col min="774" max="774" width="12.7109375" style="538" customWidth="1"/>
    <col min="775" max="775" width="17.42578125" style="538" customWidth="1"/>
    <col min="776" max="776" width="11.28515625" style="538" bestFit="1" customWidth="1"/>
    <col min="777" max="1024" width="9.140625" style="538"/>
    <col min="1025" max="1025" width="4.7109375" style="538" customWidth="1"/>
    <col min="1026" max="1026" width="44.85546875" style="538" customWidth="1"/>
    <col min="1027" max="1027" width="14.5703125" style="538" customWidth="1"/>
    <col min="1028" max="1028" width="16.28515625" style="538" customWidth="1"/>
    <col min="1029" max="1029" width="38.7109375" style="538" customWidth="1"/>
    <col min="1030" max="1030" width="12.7109375" style="538" customWidth="1"/>
    <col min="1031" max="1031" width="17.42578125" style="538" customWidth="1"/>
    <col min="1032" max="1032" width="11.28515625" style="538" bestFit="1" customWidth="1"/>
    <col min="1033" max="1280" width="9.140625" style="538"/>
    <col min="1281" max="1281" width="4.7109375" style="538" customWidth="1"/>
    <col min="1282" max="1282" width="44.85546875" style="538" customWidth="1"/>
    <col min="1283" max="1283" width="14.5703125" style="538" customWidth="1"/>
    <col min="1284" max="1284" width="16.28515625" style="538" customWidth="1"/>
    <col min="1285" max="1285" width="38.7109375" style="538" customWidth="1"/>
    <col min="1286" max="1286" width="12.7109375" style="538" customWidth="1"/>
    <col min="1287" max="1287" width="17.42578125" style="538" customWidth="1"/>
    <col min="1288" max="1288" width="11.28515625" style="538" bestFit="1" customWidth="1"/>
    <col min="1289" max="1536" width="9.140625" style="538"/>
    <col min="1537" max="1537" width="4.7109375" style="538" customWidth="1"/>
    <col min="1538" max="1538" width="44.85546875" style="538" customWidth="1"/>
    <col min="1539" max="1539" width="14.5703125" style="538" customWidth="1"/>
    <col min="1540" max="1540" width="16.28515625" style="538" customWidth="1"/>
    <col min="1541" max="1541" width="38.7109375" style="538" customWidth="1"/>
    <col min="1542" max="1542" width="12.7109375" style="538" customWidth="1"/>
    <col min="1543" max="1543" width="17.42578125" style="538" customWidth="1"/>
    <col min="1544" max="1544" width="11.28515625" style="538" bestFit="1" customWidth="1"/>
    <col min="1545" max="1792" width="9.140625" style="538"/>
    <col min="1793" max="1793" width="4.7109375" style="538" customWidth="1"/>
    <col min="1794" max="1794" width="44.85546875" style="538" customWidth="1"/>
    <col min="1795" max="1795" width="14.5703125" style="538" customWidth="1"/>
    <col min="1796" max="1796" width="16.28515625" style="538" customWidth="1"/>
    <col min="1797" max="1797" width="38.7109375" style="538" customWidth="1"/>
    <col min="1798" max="1798" width="12.7109375" style="538" customWidth="1"/>
    <col min="1799" max="1799" width="17.42578125" style="538" customWidth="1"/>
    <col min="1800" max="1800" width="11.28515625" style="538" bestFit="1" customWidth="1"/>
    <col min="1801" max="2048" width="9.140625" style="538"/>
    <col min="2049" max="2049" width="4.7109375" style="538" customWidth="1"/>
    <col min="2050" max="2050" width="44.85546875" style="538" customWidth="1"/>
    <col min="2051" max="2051" width="14.5703125" style="538" customWidth="1"/>
    <col min="2052" max="2052" width="16.28515625" style="538" customWidth="1"/>
    <col min="2053" max="2053" width="38.7109375" style="538" customWidth="1"/>
    <col min="2054" max="2054" width="12.7109375" style="538" customWidth="1"/>
    <col min="2055" max="2055" width="17.42578125" style="538" customWidth="1"/>
    <col min="2056" max="2056" width="11.28515625" style="538" bestFit="1" customWidth="1"/>
    <col min="2057" max="2304" width="9.140625" style="538"/>
    <col min="2305" max="2305" width="4.7109375" style="538" customWidth="1"/>
    <col min="2306" max="2306" width="44.85546875" style="538" customWidth="1"/>
    <col min="2307" max="2307" width="14.5703125" style="538" customWidth="1"/>
    <col min="2308" max="2308" width="16.28515625" style="538" customWidth="1"/>
    <col min="2309" max="2309" width="38.7109375" style="538" customWidth="1"/>
    <col min="2310" max="2310" width="12.7109375" style="538" customWidth="1"/>
    <col min="2311" max="2311" width="17.42578125" style="538" customWidth="1"/>
    <col min="2312" max="2312" width="11.28515625" style="538" bestFit="1" customWidth="1"/>
    <col min="2313" max="2560" width="9.140625" style="538"/>
    <col min="2561" max="2561" width="4.7109375" style="538" customWidth="1"/>
    <col min="2562" max="2562" width="44.85546875" style="538" customWidth="1"/>
    <col min="2563" max="2563" width="14.5703125" style="538" customWidth="1"/>
    <col min="2564" max="2564" width="16.28515625" style="538" customWidth="1"/>
    <col min="2565" max="2565" width="38.7109375" style="538" customWidth="1"/>
    <col min="2566" max="2566" width="12.7109375" style="538" customWidth="1"/>
    <col min="2567" max="2567" width="17.42578125" style="538" customWidth="1"/>
    <col min="2568" max="2568" width="11.28515625" style="538" bestFit="1" customWidth="1"/>
    <col min="2569" max="2816" width="9.140625" style="538"/>
    <col min="2817" max="2817" width="4.7109375" style="538" customWidth="1"/>
    <col min="2818" max="2818" width="44.85546875" style="538" customWidth="1"/>
    <col min="2819" max="2819" width="14.5703125" style="538" customWidth="1"/>
    <col min="2820" max="2820" width="16.28515625" style="538" customWidth="1"/>
    <col min="2821" max="2821" width="38.7109375" style="538" customWidth="1"/>
    <col min="2822" max="2822" width="12.7109375" style="538" customWidth="1"/>
    <col min="2823" max="2823" width="17.42578125" style="538" customWidth="1"/>
    <col min="2824" max="2824" width="11.28515625" style="538" bestFit="1" customWidth="1"/>
    <col min="2825" max="3072" width="9.140625" style="538"/>
    <col min="3073" max="3073" width="4.7109375" style="538" customWidth="1"/>
    <col min="3074" max="3074" width="44.85546875" style="538" customWidth="1"/>
    <col min="3075" max="3075" width="14.5703125" style="538" customWidth="1"/>
    <col min="3076" max="3076" width="16.28515625" style="538" customWidth="1"/>
    <col min="3077" max="3077" width="38.7109375" style="538" customWidth="1"/>
    <col min="3078" max="3078" width="12.7109375" style="538" customWidth="1"/>
    <col min="3079" max="3079" width="17.42578125" style="538" customWidth="1"/>
    <col min="3080" max="3080" width="11.28515625" style="538" bestFit="1" customWidth="1"/>
    <col min="3081" max="3328" width="9.140625" style="538"/>
    <col min="3329" max="3329" width="4.7109375" style="538" customWidth="1"/>
    <col min="3330" max="3330" width="44.85546875" style="538" customWidth="1"/>
    <col min="3331" max="3331" width="14.5703125" style="538" customWidth="1"/>
    <col min="3332" max="3332" width="16.28515625" style="538" customWidth="1"/>
    <col min="3333" max="3333" width="38.7109375" style="538" customWidth="1"/>
    <col min="3334" max="3334" width="12.7109375" style="538" customWidth="1"/>
    <col min="3335" max="3335" width="17.42578125" style="538" customWidth="1"/>
    <col min="3336" max="3336" width="11.28515625" style="538" bestFit="1" customWidth="1"/>
    <col min="3337" max="3584" width="9.140625" style="538"/>
    <col min="3585" max="3585" width="4.7109375" style="538" customWidth="1"/>
    <col min="3586" max="3586" width="44.85546875" style="538" customWidth="1"/>
    <col min="3587" max="3587" width="14.5703125" style="538" customWidth="1"/>
    <col min="3588" max="3588" width="16.28515625" style="538" customWidth="1"/>
    <col min="3589" max="3589" width="38.7109375" style="538" customWidth="1"/>
    <col min="3590" max="3590" width="12.7109375" style="538" customWidth="1"/>
    <col min="3591" max="3591" width="17.42578125" style="538" customWidth="1"/>
    <col min="3592" max="3592" width="11.28515625" style="538" bestFit="1" customWidth="1"/>
    <col min="3593" max="3840" width="9.140625" style="538"/>
    <col min="3841" max="3841" width="4.7109375" style="538" customWidth="1"/>
    <col min="3842" max="3842" width="44.85546875" style="538" customWidth="1"/>
    <col min="3843" max="3843" width="14.5703125" style="538" customWidth="1"/>
    <col min="3844" max="3844" width="16.28515625" style="538" customWidth="1"/>
    <col min="3845" max="3845" width="38.7109375" style="538" customWidth="1"/>
    <col min="3846" max="3846" width="12.7109375" style="538" customWidth="1"/>
    <col min="3847" max="3847" width="17.42578125" style="538" customWidth="1"/>
    <col min="3848" max="3848" width="11.28515625" style="538" bestFit="1" customWidth="1"/>
    <col min="3849" max="4096" width="9.140625" style="538"/>
    <col min="4097" max="4097" width="4.7109375" style="538" customWidth="1"/>
    <col min="4098" max="4098" width="44.85546875" style="538" customWidth="1"/>
    <col min="4099" max="4099" width="14.5703125" style="538" customWidth="1"/>
    <col min="4100" max="4100" width="16.28515625" style="538" customWidth="1"/>
    <col min="4101" max="4101" width="38.7109375" style="538" customWidth="1"/>
    <col min="4102" max="4102" width="12.7109375" style="538" customWidth="1"/>
    <col min="4103" max="4103" width="17.42578125" style="538" customWidth="1"/>
    <col min="4104" max="4104" width="11.28515625" style="538" bestFit="1" customWidth="1"/>
    <col min="4105" max="4352" width="9.140625" style="538"/>
    <col min="4353" max="4353" width="4.7109375" style="538" customWidth="1"/>
    <col min="4354" max="4354" width="44.85546875" style="538" customWidth="1"/>
    <col min="4355" max="4355" width="14.5703125" style="538" customWidth="1"/>
    <col min="4356" max="4356" width="16.28515625" style="538" customWidth="1"/>
    <col min="4357" max="4357" width="38.7109375" style="538" customWidth="1"/>
    <col min="4358" max="4358" width="12.7109375" style="538" customWidth="1"/>
    <col min="4359" max="4359" width="17.42578125" style="538" customWidth="1"/>
    <col min="4360" max="4360" width="11.28515625" style="538" bestFit="1" customWidth="1"/>
    <col min="4361" max="4608" width="9.140625" style="538"/>
    <col min="4609" max="4609" width="4.7109375" style="538" customWidth="1"/>
    <col min="4610" max="4610" width="44.85546875" style="538" customWidth="1"/>
    <col min="4611" max="4611" width="14.5703125" style="538" customWidth="1"/>
    <col min="4612" max="4612" width="16.28515625" style="538" customWidth="1"/>
    <col min="4613" max="4613" width="38.7109375" style="538" customWidth="1"/>
    <col min="4614" max="4614" width="12.7109375" style="538" customWidth="1"/>
    <col min="4615" max="4615" width="17.42578125" style="538" customWidth="1"/>
    <col min="4616" max="4616" width="11.28515625" style="538" bestFit="1" customWidth="1"/>
    <col min="4617" max="4864" width="9.140625" style="538"/>
    <col min="4865" max="4865" width="4.7109375" style="538" customWidth="1"/>
    <col min="4866" max="4866" width="44.85546875" style="538" customWidth="1"/>
    <col min="4867" max="4867" width="14.5703125" style="538" customWidth="1"/>
    <col min="4868" max="4868" width="16.28515625" style="538" customWidth="1"/>
    <col min="4869" max="4869" width="38.7109375" style="538" customWidth="1"/>
    <col min="4870" max="4870" width="12.7109375" style="538" customWidth="1"/>
    <col min="4871" max="4871" width="17.42578125" style="538" customWidth="1"/>
    <col min="4872" max="4872" width="11.28515625" style="538" bestFit="1" customWidth="1"/>
    <col min="4873" max="5120" width="9.140625" style="538"/>
    <col min="5121" max="5121" width="4.7109375" style="538" customWidth="1"/>
    <col min="5122" max="5122" width="44.85546875" style="538" customWidth="1"/>
    <col min="5123" max="5123" width="14.5703125" style="538" customWidth="1"/>
    <col min="5124" max="5124" width="16.28515625" style="538" customWidth="1"/>
    <col min="5125" max="5125" width="38.7109375" style="538" customWidth="1"/>
    <col min="5126" max="5126" width="12.7109375" style="538" customWidth="1"/>
    <col min="5127" max="5127" width="17.42578125" style="538" customWidth="1"/>
    <col min="5128" max="5128" width="11.28515625" style="538" bestFit="1" customWidth="1"/>
    <col min="5129" max="5376" width="9.140625" style="538"/>
    <col min="5377" max="5377" width="4.7109375" style="538" customWidth="1"/>
    <col min="5378" max="5378" width="44.85546875" style="538" customWidth="1"/>
    <col min="5379" max="5379" width="14.5703125" style="538" customWidth="1"/>
    <col min="5380" max="5380" width="16.28515625" style="538" customWidth="1"/>
    <col min="5381" max="5381" width="38.7109375" style="538" customWidth="1"/>
    <col min="5382" max="5382" width="12.7109375" style="538" customWidth="1"/>
    <col min="5383" max="5383" width="17.42578125" style="538" customWidth="1"/>
    <col min="5384" max="5384" width="11.28515625" style="538" bestFit="1" customWidth="1"/>
    <col min="5385" max="5632" width="9.140625" style="538"/>
    <col min="5633" max="5633" width="4.7109375" style="538" customWidth="1"/>
    <col min="5634" max="5634" width="44.85546875" style="538" customWidth="1"/>
    <col min="5635" max="5635" width="14.5703125" style="538" customWidth="1"/>
    <col min="5636" max="5636" width="16.28515625" style="538" customWidth="1"/>
    <col min="5637" max="5637" width="38.7109375" style="538" customWidth="1"/>
    <col min="5638" max="5638" width="12.7109375" style="538" customWidth="1"/>
    <col min="5639" max="5639" width="17.42578125" style="538" customWidth="1"/>
    <col min="5640" max="5640" width="11.28515625" style="538" bestFit="1" customWidth="1"/>
    <col min="5641" max="5888" width="9.140625" style="538"/>
    <col min="5889" max="5889" width="4.7109375" style="538" customWidth="1"/>
    <col min="5890" max="5890" width="44.85546875" style="538" customWidth="1"/>
    <col min="5891" max="5891" width="14.5703125" style="538" customWidth="1"/>
    <col min="5892" max="5892" width="16.28515625" style="538" customWidth="1"/>
    <col min="5893" max="5893" width="38.7109375" style="538" customWidth="1"/>
    <col min="5894" max="5894" width="12.7109375" style="538" customWidth="1"/>
    <col min="5895" max="5895" width="17.42578125" style="538" customWidth="1"/>
    <col min="5896" max="5896" width="11.28515625" style="538" bestFit="1" customWidth="1"/>
    <col min="5897" max="6144" width="9.140625" style="538"/>
    <col min="6145" max="6145" width="4.7109375" style="538" customWidth="1"/>
    <col min="6146" max="6146" width="44.85546875" style="538" customWidth="1"/>
    <col min="6147" max="6147" width="14.5703125" style="538" customWidth="1"/>
    <col min="6148" max="6148" width="16.28515625" style="538" customWidth="1"/>
    <col min="6149" max="6149" width="38.7109375" style="538" customWidth="1"/>
    <col min="6150" max="6150" width="12.7109375" style="538" customWidth="1"/>
    <col min="6151" max="6151" width="17.42578125" style="538" customWidth="1"/>
    <col min="6152" max="6152" width="11.28515625" style="538" bestFit="1" customWidth="1"/>
    <col min="6153" max="6400" width="9.140625" style="538"/>
    <col min="6401" max="6401" width="4.7109375" style="538" customWidth="1"/>
    <col min="6402" max="6402" width="44.85546875" style="538" customWidth="1"/>
    <col min="6403" max="6403" width="14.5703125" style="538" customWidth="1"/>
    <col min="6404" max="6404" width="16.28515625" style="538" customWidth="1"/>
    <col min="6405" max="6405" width="38.7109375" style="538" customWidth="1"/>
    <col min="6406" max="6406" width="12.7109375" style="538" customWidth="1"/>
    <col min="6407" max="6407" width="17.42578125" style="538" customWidth="1"/>
    <col min="6408" max="6408" width="11.28515625" style="538" bestFit="1" customWidth="1"/>
    <col min="6409" max="6656" width="9.140625" style="538"/>
    <col min="6657" max="6657" width="4.7109375" style="538" customWidth="1"/>
    <col min="6658" max="6658" width="44.85546875" style="538" customWidth="1"/>
    <col min="6659" max="6659" width="14.5703125" style="538" customWidth="1"/>
    <col min="6660" max="6660" width="16.28515625" style="538" customWidth="1"/>
    <col min="6661" max="6661" width="38.7109375" style="538" customWidth="1"/>
    <col min="6662" max="6662" width="12.7109375" style="538" customWidth="1"/>
    <col min="6663" max="6663" width="17.42578125" style="538" customWidth="1"/>
    <col min="6664" max="6664" width="11.28515625" style="538" bestFit="1" customWidth="1"/>
    <col min="6665" max="6912" width="9.140625" style="538"/>
    <col min="6913" max="6913" width="4.7109375" style="538" customWidth="1"/>
    <col min="6914" max="6914" width="44.85546875" style="538" customWidth="1"/>
    <col min="6915" max="6915" width="14.5703125" style="538" customWidth="1"/>
    <col min="6916" max="6916" width="16.28515625" style="538" customWidth="1"/>
    <col min="6917" max="6917" width="38.7109375" style="538" customWidth="1"/>
    <col min="6918" max="6918" width="12.7109375" style="538" customWidth="1"/>
    <col min="6919" max="6919" width="17.42578125" style="538" customWidth="1"/>
    <col min="6920" max="6920" width="11.28515625" style="538" bestFit="1" customWidth="1"/>
    <col min="6921" max="7168" width="9.140625" style="538"/>
    <col min="7169" max="7169" width="4.7109375" style="538" customWidth="1"/>
    <col min="7170" max="7170" width="44.85546875" style="538" customWidth="1"/>
    <col min="7171" max="7171" width="14.5703125" style="538" customWidth="1"/>
    <col min="7172" max="7172" width="16.28515625" style="538" customWidth="1"/>
    <col min="7173" max="7173" width="38.7109375" style="538" customWidth="1"/>
    <col min="7174" max="7174" width="12.7109375" style="538" customWidth="1"/>
    <col min="7175" max="7175" width="17.42578125" style="538" customWidth="1"/>
    <col min="7176" max="7176" width="11.28515625" style="538" bestFit="1" customWidth="1"/>
    <col min="7177" max="7424" width="9.140625" style="538"/>
    <col min="7425" max="7425" width="4.7109375" style="538" customWidth="1"/>
    <col min="7426" max="7426" width="44.85546875" style="538" customWidth="1"/>
    <col min="7427" max="7427" width="14.5703125" style="538" customWidth="1"/>
    <col min="7428" max="7428" width="16.28515625" style="538" customWidth="1"/>
    <col min="7429" max="7429" width="38.7109375" style="538" customWidth="1"/>
    <col min="7430" max="7430" width="12.7109375" style="538" customWidth="1"/>
    <col min="7431" max="7431" width="17.42578125" style="538" customWidth="1"/>
    <col min="7432" max="7432" width="11.28515625" style="538" bestFit="1" customWidth="1"/>
    <col min="7433" max="7680" width="9.140625" style="538"/>
    <col min="7681" max="7681" width="4.7109375" style="538" customWidth="1"/>
    <col min="7682" max="7682" width="44.85546875" style="538" customWidth="1"/>
    <col min="7683" max="7683" width="14.5703125" style="538" customWidth="1"/>
    <col min="7684" max="7684" width="16.28515625" style="538" customWidth="1"/>
    <col min="7685" max="7685" width="38.7109375" style="538" customWidth="1"/>
    <col min="7686" max="7686" width="12.7109375" style="538" customWidth="1"/>
    <col min="7687" max="7687" width="17.42578125" style="538" customWidth="1"/>
    <col min="7688" max="7688" width="11.28515625" style="538" bestFit="1" customWidth="1"/>
    <col min="7689" max="7936" width="9.140625" style="538"/>
    <col min="7937" max="7937" width="4.7109375" style="538" customWidth="1"/>
    <col min="7938" max="7938" width="44.85546875" style="538" customWidth="1"/>
    <col min="7939" max="7939" width="14.5703125" style="538" customWidth="1"/>
    <col min="7940" max="7940" width="16.28515625" style="538" customWidth="1"/>
    <col min="7941" max="7941" width="38.7109375" style="538" customWidth="1"/>
    <col min="7942" max="7942" width="12.7109375" style="538" customWidth="1"/>
    <col min="7943" max="7943" width="17.42578125" style="538" customWidth="1"/>
    <col min="7944" max="7944" width="11.28515625" style="538" bestFit="1" customWidth="1"/>
    <col min="7945" max="8192" width="9.140625" style="538"/>
    <col min="8193" max="8193" width="4.7109375" style="538" customWidth="1"/>
    <col min="8194" max="8194" width="44.85546875" style="538" customWidth="1"/>
    <col min="8195" max="8195" width="14.5703125" style="538" customWidth="1"/>
    <col min="8196" max="8196" width="16.28515625" style="538" customWidth="1"/>
    <col min="8197" max="8197" width="38.7109375" style="538" customWidth="1"/>
    <col min="8198" max="8198" width="12.7109375" style="538" customWidth="1"/>
    <col min="8199" max="8199" width="17.42578125" style="538" customWidth="1"/>
    <col min="8200" max="8200" width="11.28515625" style="538" bestFit="1" customWidth="1"/>
    <col min="8201" max="8448" width="9.140625" style="538"/>
    <col min="8449" max="8449" width="4.7109375" style="538" customWidth="1"/>
    <col min="8450" max="8450" width="44.85546875" style="538" customWidth="1"/>
    <col min="8451" max="8451" width="14.5703125" style="538" customWidth="1"/>
    <col min="8452" max="8452" width="16.28515625" style="538" customWidth="1"/>
    <col min="8453" max="8453" width="38.7109375" style="538" customWidth="1"/>
    <col min="8454" max="8454" width="12.7109375" style="538" customWidth="1"/>
    <col min="8455" max="8455" width="17.42578125" style="538" customWidth="1"/>
    <col min="8456" max="8456" width="11.28515625" style="538" bestFit="1" customWidth="1"/>
    <col min="8457" max="8704" width="9.140625" style="538"/>
    <col min="8705" max="8705" width="4.7109375" style="538" customWidth="1"/>
    <col min="8706" max="8706" width="44.85546875" style="538" customWidth="1"/>
    <col min="8707" max="8707" width="14.5703125" style="538" customWidth="1"/>
    <col min="8708" max="8708" width="16.28515625" style="538" customWidth="1"/>
    <col min="8709" max="8709" width="38.7109375" style="538" customWidth="1"/>
    <col min="8710" max="8710" width="12.7109375" style="538" customWidth="1"/>
    <col min="8711" max="8711" width="17.42578125" style="538" customWidth="1"/>
    <col min="8712" max="8712" width="11.28515625" style="538" bestFit="1" customWidth="1"/>
    <col min="8713" max="8960" width="9.140625" style="538"/>
    <col min="8961" max="8961" width="4.7109375" style="538" customWidth="1"/>
    <col min="8962" max="8962" width="44.85546875" style="538" customWidth="1"/>
    <col min="8963" max="8963" width="14.5703125" style="538" customWidth="1"/>
    <col min="8964" max="8964" width="16.28515625" style="538" customWidth="1"/>
    <col min="8965" max="8965" width="38.7109375" style="538" customWidth="1"/>
    <col min="8966" max="8966" width="12.7109375" style="538" customWidth="1"/>
    <col min="8967" max="8967" width="17.42578125" style="538" customWidth="1"/>
    <col min="8968" max="8968" width="11.28515625" style="538" bestFit="1" customWidth="1"/>
    <col min="8969" max="9216" width="9.140625" style="538"/>
    <col min="9217" max="9217" width="4.7109375" style="538" customWidth="1"/>
    <col min="9218" max="9218" width="44.85546875" style="538" customWidth="1"/>
    <col min="9219" max="9219" width="14.5703125" style="538" customWidth="1"/>
    <col min="9220" max="9220" width="16.28515625" style="538" customWidth="1"/>
    <col min="9221" max="9221" width="38.7109375" style="538" customWidth="1"/>
    <col min="9222" max="9222" width="12.7109375" style="538" customWidth="1"/>
    <col min="9223" max="9223" width="17.42578125" style="538" customWidth="1"/>
    <col min="9224" max="9224" width="11.28515625" style="538" bestFit="1" customWidth="1"/>
    <col min="9225" max="9472" width="9.140625" style="538"/>
    <col min="9473" max="9473" width="4.7109375" style="538" customWidth="1"/>
    <col min="9474" max="9474" width="44.85546875" style="538" customWidth="1"/>
    <col min="9475" max="9475" width="14.5703125" style="538" customWidth="1"/>
    <col min="9476" max="9476" width="16.28515625" style="538" customWidth="1"/>
    <col min="9477" max="9477" width="38.7109375" style="538" customWidth="1"/>
    <col min="9478" max="9478" width="12.7109375" style="538" customWidth="1"/>
    <col min="9479" max="9479" width="17.42578125" style="538" customWidth="1"/>
    <col min="9480" max="9480" width="11.28515625" style="538" bestFit="1" customWidth="1"/>
    <col min="9481" max="9728" width="9.140625" style="538"/>
    <col min="9729" max="9729" width="4.7109375" style="538" customWidth="1"/>
    <col min="9730" max="9730" width="44.85546875" style="538" customWidth="1"/>
    <col min="9731" max="9731" width="14.5703125" style="538" customWidth="1"/>
    <col min="9732" max="9732" width="16.28515625" style="538" customWidth="1"/>
    <col min="9733" max="9733" width="38.7109375" style="538" customWidth="1"/>
    <col min="9734" max="9734" width="12.7109375" style="538" customWidth="1"/>
    <col min="9735" max="9735" width="17.42578125" style="538" customWidth="1"/>
    <col min="9736" max="9736" width="11.28515625" style="538" bestFit="1" customWidth="1"/>
    <col min="9737" max="9984" width="9.140625" style="538"/>
    <col min="9985" max="9985" width="4.7109375" style="538" customWidth="1"/>
    <col min="9986" max="9986" width="44.85546875" style="538" customWidth="1"/>
    <col min="9987" max="9987" width="14.5703125" style="538" customWidth="1"/>
    <col min="9988" max="9988" width="16.28515625" style="538" customWidth="1"/>
    <col min="9989" max="9989" width="38.7109375" style="538" customWidth="1"/>
    <col min="9990" max="9990" width="12.7109375" style="538" customWidth="1"/>
    <col min="9991" max="9991" width="17.42578125" style="538" customWidth="1"/>
    <col min="9992" max="9992" width="11.28515625" style="538" bestFit="1" customWidth="1"/>
    <col min="9993" max="10240" width="9.140625" style="538"/>
    <col min="10241" max="10241" width="4.7109375" style="538" customWidth="1"/>
    <col min="10242" max="10242" width="44.85546875" style="538" customWidth="1"/>
    <col min="10243" max="10243" width="14.5703125" style="538" customWidth="1"/>
    <col min="10244" max="10244" width="16.28515625" style="538" customWidth="1"/>
    <col min="10245" max="10245" width="38.7109375" style="538" customWidth="1"/>
    <col min="10246" max="10246" width="12.7109375" style="538" customWidth="1"/>
    <col min="10247" max="10247" width="17.42578125" style="538" customWidth="1"/>
    <col min="10248" max="10248" width="11.28515625" style="538" bestFit="1" customWidth="1"/>
    <col min="10249" max="10496" width="9.140625" style="538"/>
    <col min="10497" max="10497" width="4.7109375" style="538" customWidth="1"/>
    <col min="10498" max="10498" width="44.85546875" style="538" customWidth="1"/>
    <col min="10499" max="10499" width="14.5703125" style="538" customWidth="1"/>
    <col min="10500" max="10500" width="16.28515625" style="538" customWidth="1"/>
    <col min="10501" max="10501" width="38.7109375" style="538" customWidth="1"/>
    <col min="10502" max="10502" width="12.7109375" style="538" customWidth="1"/>
    <col min="10503" max="10503" width="17.42578125" style="538" customWidth="1"/>
    <col min="10504" max="10504" width="11.28515625" style="538" bestFit="1" customWidth="1"/>
    <col min="10505" max="10752" width="9.140625" style="538"/>
    <col min="10753" max="10753" width="4.7109375" style="538" customWidth="1"/>
    <col min="10754" max="10754" width="44.85546875" style="538" customWidth="1"/>
    <col min="10755" max="10755" width="14.5703125" style="538" customWidth="1"/>
    <col min="10756" max="10756" width="16.28515625" style="538" customWidth="1"/>
    <col min="10757" max="10757" width="38.7109375" style="538" customWidth="1"/>
    <col min="10758" max="10758" width="12.7109375" style="538" customWidth="1"/>
    <col min="10759" max="10759" width="17.42578125" style="538" customWidth="1"/>
    <col min="10760" max="10760" width="11.28515625" style="538" bestFit="1" customWidth="1"/>
    <col min="10761" max="11008" width="9.140625" style="538"/>
    <col min="11009" max="11009" width="4.7109375" style="538" customWidth="1"/>
    <col min="11010" max="11010" width="44.85546875" style="538" customWidth="1"/>
    <col min="11011" max="11011" width="14.5703125" style="538" customWidth="1"/>
    <col min="11012" max="11012" width="16.28515625" style="538" customWidth="1"/>
    <col min="11013" max="11013" width="38.7109375" style="538" customWidth="1"/>
    <col min="11014" max="11014" width="12.7109375" style="538" customWidth="1"/>
    <col min="11015" max="11015" width="17.42578125" style="538" customWidth="1"/>
    <col min="11016" max="11016" width="11.28515625" style="538" bestFit="1" customWidth="1"/>
    <col min="11017" max="11264" width="9.140625" style="538"/>
    <col min="11265" max="11265" width="4.7109375" style="538" customWidth="1"/>
    <col min="11266" max="11266" width="44.85546875" style="538" customWidth="1"/>
    <col min="11267" max="11267" width="14.5703125" style="538" customWidth="1"/>
    <col min="11268" max="11268" width="16.28515625" style="538" customWidth="1"/>
    <col min="11269" max="11269" width="38.7109375" style="538" customWidth="1"/>
    <col min="11270" max="11270" width="12.7109375" style="538" customWidth="1"/>
    <col min="11271" max="11271" width="17.42578125" style="538" customWidth="1"/>
    <col min="11272" max="11272" width="11.28515625" style="538" bestFit="1" customWidth="1"/>
    <col min="11273" max="11520" width="9.140625" style="538"/>
    <col min="11521" max="11521" width="4.7109375" style="538" customWidth="1"/>
    <col min="11522" max="11522" width="44.85546875" style="538" customWidth="1"/>
    <col min="11523" max="11523" width="14.5703125" style="538" customWidth="1"/>
    <col min="11524" max="11524" width="16.28515625" style="538" customWidth="1"/>
    <col min="11525" max="11525" width="38.7109375" style="538" customWidth="1"/>
    <col min="11526" max="11526" width="12.7109375" style="538" customWidth="1"/>
    <col min="11527" max="11527" width="17.42578125" style="538" customWidth="1"/>
    <col min="11528" max="11528" width="11.28515625" style="538" bestFit="1" customWidth="1"/>
    <col min="11529" max="11776" width="9.140625" style="538"/>
    <col min="11777" max="11777" width="4.7109375" style="538" customWidth="1"/>
    <col min="11778" max="11778" width="44.85546875" style="538" customWidth="1"/>
    <col min="11779" max="11779" width="14.5703125" style="538" customWidth="1"/>
    <col min="11780" max="11780" width="16.28515625" style="538" customWidth="1"/>
    <col min="11781" max="11781" width="38.7109375" style="538" customWidth="1"/>
    <col min="11782" max="11782" width="12.7109375" style="538" customWidth="1"/>
    <col min="11783" max="11783" width="17.42578125" style="538" customWidth="1"/>
    <col min="11784" max="11784" width="11.28515625" style="538" bestFit="1" customWidth="1"/>
    <col min="11785" max="12032" width="9.140625" style="538"/>
    <col min="12033" max="12033" width="4.7109375" style="538" customWidth="1"/>
    <col min="12034" max="12034" width="44.85546875" style="538" customWidth="1"/>
    <col min="12035" max="12035" width="14.5703125" style="538" customWidth="1"/>
    <col min="12036" max="12036" width="16.28515625" style="538" customWidth="1"/>
    <col min="12037" max="12037" width="38.7109375" style="538" customWidth="1"/>
    <col min="12038" max="12038" width="12.7109375" style="538" customWidth="1"/>
    <col min="12039" max="12039" width="17.42578125" style="538" customWidth="1"/>
    <col min="12040" max="12040" width="11.28515625" style="538" bestFit="1" customWidth="1"/>
    <col min="12041" max="12288" width="9.140625" style="538"/>
    <col min="12289" max="12289" width="4.7109375" style="538" customWidth="1"/>
    <col min="12290" max="12290" width="44.85546875" style="538" customWidth="1"/>
    <col min="12291" max="12291" width="14.5703125" style="538" customWidth="1"/>
    <col min="12292" max="12292" width="16.28515625" style="538" customWidth="1"/>
    <col min="12293" max="12293" width="38.7109375" style="538" customWidth="1"/>
    <col min="12294" max="12294" width="12.7109375" style="538" customWidth="1"/>
    <col min="12295" max="12295" width="17.42578125" style="538" customWidth="1"/>
    <col min="12296" max="12296" width="11.28515625" style="538" bestFit="1" customWidth="1"/>
    <col min="12297" max="12544" width="9.140625" style="538"/>
    <col min="12545" max="12545" width="4.7109375" style="538" customWidth="1"/>
    <col min="12546" max="12546" width="44.85546875" style="538" customWidth="1"/>
    <col min="12547" max="12547" width="14.5703125" style="538" customWidth="1"/>
    <col min="12548" max="12548" width="16.28515625" style="538" customWidth="1"/>
    <col min="12549" max="12549" width="38.7109375" style="538" customWidth="1"/>
    <col min="12550" max="12550" width="12.7109375" style="538" customWidth="1"/>
    <col min="12551" max="12551" width="17.42578125" style="538" customWidth="1"/>
    <col min="12552" max="12552" width="11.28515625" style="538" bestFit="1" customWidth="1"/>
    <col min="12553" max="12800" width="9.140625" style="538"/>
    <col min="12801" max="12801" width="4.7109375" style="538" customWidth="1"/>
    <col min="12802" max="12802" width="44.85546875" style="538" customWidth="1"/>
    <col min="12803" max="12803" width="14.5703125" style="538" customWidth="1"/>
    <col min="12804" max="12804" width="16.28515625" style="538" customWidth="1"/>
    <col min="12805" max="12805" width="38.7109375" style="538" customWidth="1"/>
    <col min="12806" max="12806" width="12.7109375" style="538" customWidth="1"/>
    <col min="12807" max="12807" width="17.42578125" style="538" customWidth="1"/>
    <col min="12808" max="12808" width="11.28515625" style="538" bestFit="1" customWidth="1"/>
    <col min="12809" max="13056" width="9.140625" style="538"/>
    <col min="13057" max="13057" width="4.7109375" style="538" customWidth="1"/>
    <col min="13058" max="13058" width="44.85546875" style="538" customWidth="1"/>
    <col min="13059" max="13059" width="14.5703125" style="538" customWidth="1"/>
    <col min="13060" max="13060" width="16.28515625" style="538" customWidth="1"/>
    <col min="13061" max="13061" width="38.7109375" style="538" customWidth="1"/>
    <col min="13062" max="13062" width="12.7109375" style="538" customWidth="1"/>
    <col min="13063" max="13063" width="17.42578125" style="538" customWidth="1"/>
    <col min="13064" max="13064" width="11.28515625" style="538" bestFit="1" customWidth="1"/>
    <col min="13065" max="13312" width="9.140625" style="538"/>
    <col min="13313" max="13313" width="4.7109375" style="538" customWidth="1"/>
    <col min="13314" max="13314" width="44.85546875" style="538" customWidth="1"/>
    <col min="13315" max="13315" width="14.5703125" style="538" customWidth="1"/>
    <col min="13316" max="13316" width="16.28515625" style="538" customWidth="1"/>
    <col min="13317" max="13317" width="38.7109375" style="538" customWidth="1"/>
    <col min="13318" max="13318" width="12.7109375" style="538" customWidth="1"/>
    <col min="13319" max="13319" width="17.42578125" style="538" customWidth="1"/>
    <col min="13320" max="13320" width="11.28515625" style="538" bestFit="1" customWidth="1"/>
    <col min="13321" max="13568" width="9.140625" style="538"/>
    <col min="13569" max="13569" width="4.7109375" style="538" customWidth="1"/>
    <col min="13570" max="13570" width="44.85546875" style="538" customWidth="1"/>
    <col min="13571" max="13571" width="14.5703125" style="538" customWidth="1"/>
    <col min="13572" max="13572" width="16.28515625" style="538" customWidth="1"/>
    <col min="13573" max="13573" width="38.7109375" style="538" customWidth="1"/>
    <col min="13574" max="13574" width="12.7109375" style="538" customWidth="1"/>
    <col min="13575" max="13575" width="17.42578125" style="538" customWidth="1"/>
    <col min="13576" max="13576" width="11.28515625" style="538" bestFit="1" customWidth="1"/>
    <col min="13577" max="13824" width="9.140625" style="538"/>
    <col min="13825" max="13825" width="4.7109375" style="538" customWidth="1"/>
    <col min="13826" max="13826" width="44.85546875" style="538" customWidth="1"/>
    <col min="13827" max="13827" width="14.5703125" style="538" customWidth="1"/>
    <col min="13828" max="13828" width="16.28515625" style="538" customWidth="1"/>
    <col min="13829" max="13829" width="38.7109375" style="538" customWidth="1"/>
    <col min="13830" max="13830" width="12.7109375" style="538" customWidth="1"/>
    <col min="13831" max="13831" width="17.42578125" style="538" customWidth="1"/>
    <col min="13832" max="13832" width="11.28515625" style="538" bestFit="1" customWidth="1"/>
    <col min="13833" max="14080" width="9.140625" style="538"/>
    <col min="14081" max="14081" width="4.7109375" style="538" customWidth="1"/>
    <col min="14082" max="14082" width="44.85546875" style="538" customWidth="1"/>
    <col min="14083" max="14083" width="14.5703125" style="538" customWidth="1"/>
    <col min="14084" max="14084" width="16.28515625" style="538" customWidth="1"/>
    <col min="14085" max="14085" width="38.7109375" style="538" customWidth="1"/>
    <col min="14086" max="14086" width="12.7109375" style="538" customWidth="1"/>
    <col min="14087" max="14087" width="17.42578125" style="538" customWidth="1"/>
    <col min="14088" max="14088" width="11.28515625" style="538" bestFit="1" customWidth="1"/>
    <col min="14089" max="14336" width="9.140625" style="538"/>
    <col min="14337" max="14337" width="4.7109375" style="538" customWidth="1"/>
    <col min="14338" max="14338" width="44.85546875" style="538" customWidth="1"/>
    <col min="14339" max="14339" width="14.5703125" style="538" customWidth="1"/>
    <col min="14340" max="14340" width="16.28515625" style="538" customWidth="1"/>
    <col min="14341" max="14341" width="38.7109375" style="538" customWidth="1"/>
    <col min="14342" max="14342" width="12.7109375" style="538" customWidth="1"/>
    <col min="14343" max="14343" width="17.42578125" style="538" customWidth="1"/>
    <col min="14344" max="14344" width="11.28515625" style="538" bestFit="1" customWidth="1"/>
    <col min="14345" max="14592" width="9.140625" style="538"/>
    <col min="14593" max="14593" width="4.7109375" style="538" customWidth="1"/>
    <col min="14594" max="14594" width="44.85546875" style="538" customWidth="1"/>
    <col min="14595" max="14595" width="14.5703125" style="538" customWidth="1"/>
    <col min="14596" max="14596" width="16.28515625" style="538" customWidth="1"/>
    <col min="14597" max="14597" width="38.7109375" style="538" customWidth="1"/>
    <col min="14598" max="14598" width="12.7109375" style="538" customWidth="1"/>
    <col min="14599" max="14599" width="17.42578125" style="538" customWidth="1"/>
    <col min="14600" max="14600" width="11.28515625" style="538" bestFit="1" customWidth="1"/>
    <col min="14601" max="14848" width="9.140625" style="538"/>
    <col min="14849" max="14849" width="4.7109375" style="538" customWidth="1"/>
    <col min="14850" max="14850" width="44.85546875" style="538" customWidth="1"/>
    <col min="14851" max="14851" width="14.5703125" style="538" customWidth="1"/>
    <col min="14852" max="14852" width="16.28515625" style="538" customWidth="1"/>
    <col min="14853" max="14853" width="38.7109375" style="538" customWidth="1"/>
    <col min="14854" max="14854" width="12.7109375" style="538" customWidth="1"/>
    <col min="14855" max="14855" width="17.42578125" style="538" customWidth="1"/>
    <col min="14856" max="14856" width="11.28515625" style="538" bestFit="1" customWidth="1"/>
    <col min="14857" max="15104" width="9.140625" style="538"/>
    <col min="15105" max="15105" width="4.7109375" style="538" customWidth="1"/>
    <col min="15106" max="15106" width="44.85546875" style="538" customWidth="1"/>
    <col min="15107" max="15107" width="14.5703125" style="538" customWidth="1"/>
    <col min="15108" max="15108" width="16.28515625" style="538" customWidth="1"/>
    <col min="15109" max="15109" width="38.7109375" style="538" customWidth="1"/>
    <col min="15110" max="15110" width="12.7109375" style="538" customWidth="1"/>
    <col min="15111" max="15111" width="17.42578125" style="538" customWidth="1"/>
    <col min="15112" max="15112" width="11.28515625" style="538" bestFit="1" customWidth="1"/>
    <col min="15113" max="15360" width="9.140625" style="538"/>
    <col min="15361" max="15361" width="4.7109375" style="538" customWidth="1"/>
    <col min="15362" max="15362" width="44.85546875" style="538" customWidth="1"/>
    <col min="15363" max="15363" width="14.5703125" style="538" customWidth="1"/>
    <col min="15364" max="15364" width="16.28515625" style="538" customWidth="1"/>
    <col min="15365" max="15365" width="38.7109375" style="538" customWidth="1"/>
    <col min="15366" max="15366" width="12.7109375" style="538" customWidth="1"/>
    <col min="15367" max="15367" width="17.42578125" style="538" customWidth="1"/>
    <col min="15368" max="15368" width="11.28515625" style="538" bestFit="1" customWidth="1"/>
    <col min="15369" max="15616" width="9.140625" style="538"/>
    <col min="15617" max="15617" width="4.7109375" style="538" customWidth="1"/>
    <col min="15618" max="15618" width="44.85546875" style="538" customWidth="1"/>
    <col min="15619" max="15619" width="14.5703125" style="538" customWidth="1"/>
    <col min="15620" max="15620" width="16.28515625" style="538" customWidth="1"/>
    <col min="15621" max="15621" width="38.7109375" style="538" customWidth="1"/>
    <col min="15622" max="15622" width="12.7109375" style="538" customWidth="1"/>
    <col min="15623" max="15623" width="17.42578125" style="538" customWidth="1"/>
    <col min="15624" max="15624" width="11.28515625" style="538" bestFit="1" customWidth="1"/>
    <col min="15625" max="15872" width="9.140625" style="538"/>
    <col min="15873" max="15873" width="4.7109375" style="538" customWidth="1"/>
    <col min="15874" max="15874" width="44.85546875" style="538" customWidth="1"/>
    <col min="15875" max="15875" width="14.5703125" style="538" customWidth="1"/>
    <col min="15876" max="15876" width="16.28515625" style="538" customWidth="1"/>
    <col min="15877" max="15877" width="38.7109375" style="538" customWidth="1"/>
    <col min="15878" max="15878" width="12.7109375" style="538" customWidth="1"/>
    <col min="15879" max="15879" width="17.42578125" style="538" customWidth="1"/>
    <col min="15880" max="15880" width="11.28515625" style="538" bestFit="1" customWidth="1"/>
    <col min="15881" max="16128" width="9.140625" style="538"/>
    <col min="16129" max="16129" width="4.7109375" style="538" customWidth="1"/>
    <col min="16130" max="16130" width="44.85546875" style="538" customWidth="1"/>
    <col min="16131" max="16131" width="14.5703125" style="538" customWidth="1"/>
    <col min="16132" max="16132" width="16.28515625" style="538" customWidth="1"/>
    <col min="16133" max="16133" width="38.7109375" style="538" customWidth="1"/>
    <col min="16134" max="16134" width="12.7109375" style="538" customWidth="1"/>
    <col min="16135" max="16135" width="17.42578125" style="538" customWidth="1"/>
    <col min="16136" max="16136" width="11.28515625" style="538" bestFit="1" customWidth="1"/>
    <col min="16137" max="16384" width="9.140625" style="538"/>
  </cols>
  <sheetData>
    <row r="1" spans="1:12" ht="18" customHeight="1" x14ac:dyDescent="0.2">
      <c r="C1" s="539"/>
      <c r="F1" s="539"/>
    </row>
    <row r="2" spans="1:12" ht="18" customHeight="1" x14ac:dyDescent="0.2">
      <c r="C2" s="541"/>
      <c r="F2" s="541"/>
    </row>
    <row r="3" spans="1:12" ht="18" customHeight="1" x14ac:dyDescent="0.2">
      <c r="B3" s="541"/>
      <c r="C3" s="541"/>
      <c r="F3" s="541"/>
    </row>
    <row r="4" spans="1:12" x14ac:dyDescent="0.2">
      <c r="B4" s="541"/>
      <c r="C4" s="538"/>
      <c r="D4" s="542"/>
    </row>
    <row r="5" spans="1:12" ht="18.75" x14ac:dyDescent="0.2">
      <c r="A5" s="619" t="s">
        <v>300</v>
      </c>
      <c r="B5" s="619"/>
      <c r="C5" s="619"/>
      <c r="D5" s="619"/>
      <c r="E5" s="619"/>
      <c r="F5" s="619"/>
      <c r="G5" s="619"/>
    </row>
    <row r="6" spans="1:12" s="544" customFormat="1" ht="66" customHeight="1" x14ac:dyDescent="0.2">
      <c r="A6" s="620" t="s">
        <v>327</v>
      </c>
      <c r="B6" s="620"/>
      <c r="C6" s="620"/>
      <c r="D6" s="620"/>
      <c r="E6" s="620"/>
      <c r="F6" s="620"/>
      <c r="G6" s="620"/>
      <c r="H6" s="543"/>
    </row>
    <row r="7" spans="1:12" s="544" customFormat="1" ht="9" customHeight="1" thickBot="1" x14ac:dyDescent="0.25">
      <c r="A7" s="545"/>
      <c r="B7" s="546"/>
      <c r="C7" s="546"/>
      <c r="D7" s="546"/>
      <c r="E7" s="547"/>
    </row>
    <row r="8" spans="1:12" s="548" customFormat="1" x14ac:dyDescent="0.2">
      <c r="A8" s="621" t="s">
        <v>23</v>
      </c>
      <c r="B8" s="623" t="s">
        <v>67</v>
      </c>
      <c r="C8" s="625" t="s">
        <v>301</v>
      </c>
      <c r="D8" s="627" t="s">
        <v>302</v>
      </c>
      <c r="E8" s="629" t="s">
        <v>303</v>
      </c>
      <c r="F8" s="630"/>
      <c r="G8" s="627" t="s">
        <v>304</v>
      </c>
    </row>
    <row r="9" spans="1:12" s="548" customFormat="1" ht="26.25" thickBot="1" x14ac:dyDescent="0.25">
      <c r="A9" s="622"/>
      <c r="B9" s="624"/>
      <c r="C9" s="626"/>
      <c r="D9" s="628"/>
      <c r="E9" s="613" t="s">
        <v>301</v>
      </c>
      <c r="F9" s="614" t="s">
        <v>305</v>
      </c>
      <c r="G9" s="628"/>
    </row>
    <row r="10" spans="1:12" ht="28.5" x14ac:dyDescent="0.2">
      <c r="A10" s="586"/>
      <c r="B10" s="582" t="s">
        <v>68</v>
      </c>
      <c r="C10" s="590"/>
      <c r="D10" s="598"/>
      <c r="E10" s="593"/>
      <c r="F10" s="603"/>
      <c r="G10" s="609"/>
    </row>
    <row r="11" spans="1:12" ht="45" x14ac:dyDescent="0.2">
      <c r="A11" s="587">
        <v>1</v>
      </c>
      <c r="B11" s="6" t="s">
        <v>194</v>
      </c>
      <c r="C11" s="591" t="s">
        <v>308</v>
      </c>
      <c r="D11" s="599">
        <f>'Геол, экол, геод'!G35</f>
        <v>14890.199999999999</v>
      </c>
      <c r="E11" s="594" t="s">
        <v>307</v>
      </c>
      <c r="F11" s="604">
        <v>3.93</v>
      </c>
      <c r="G11" s="610">
        <f>ROUND(D11*F11,2)</f>
        <v>58518.49</v>
      </c>
      <c r="H11" s="542"/>
      <c r="I11" s="542"/>
      <c r="J11" s="542"/>
      <c r="K11" s="542"/>
      <c r="L11" s="550"/>
    </row>
    <row r="12" spans="1:12" x14ac:dyDescent="0.2">
      <c r="A12" s="588"/>
      <c r="B12" s="551" t="s">
        <v>69</v>
      </c>
      <c r="C12" s="592"/>
      <c r="D12" s="600">
        <f>SUM(D11:D11)</f>
        <v>14890.199999999999</v>
      </c>
      <c r="E12" s="595"/>
      <c r="F12" s="605"/>
      <c r="G12" s="600">
        <f>SUM(G11:G11)</f>
        <v>58518.49</v>
      </c>
    </row>
    <row r="13" spans="1:12" x14ac:dyDescent="0.2">
      <c r="A13" s="587"/>
      <c r="B13" s="549" t="s">
        <v>70</v>
      </c>
      <c r="C13" s="591"/>
      <c r="D13" s="601"/>
      <c r="E13" s="595"/>
      <c r="F13" s="606"/>
      <c r="G13" s="611"/>
      <c r="H13" s="548"/>
      <c r="I13" s="548"/>
      <c r="J13" s="548"/>
    </row>
    <row r="14" spans="1:12" ht="36" x14ac:dyDescent="0.2">
      <c r="A14" s="587">
        <v>2</v>
      </c>
      <c r="B14" s="6" t="s">
        <v>71</v>
      </c>
      <c r="C14" s="591" t="s">
        <v>306</v>
      </c>
      <c r="D14" s="599">
        <f>Т.с.!H61</f>
        <v>164884.31</v>
      </c>
      <c r="E14" s="594" t="s">
        <v>309</v>
      </c>
      <c r="F14" s="607">
        <v>3.5329999999999999</v>
      </c>
      <c r="G14" s="610">
        <f>ROUND(D14*F14,2)</f>
        <v>582536.27</v>
      </c>
      <c r="H14" s="542"/>
      <c r="I14" s="542"/>
      <c r="J14" s="542"/>
      <c r="K14" s="542"/>
      <c r="L14" s="550"/>
    </row>
    <row r="15" spans="1:12" ht="36" x14ac:dyDescent="0.2">
      <c r="A15" s="587">
        <v>3</v>
      </c>
      <c r="B15" s="6" t="s">
        <v>72</v>
      </c>
      <c r="C15" s="591" t="s">
        <v>310</v>
      </c>
      <c r="D15" s="599">
        <f>'ООС+ТР'!H61</f>
        <v>65624.5</v>
      </c>
      <c r="E15" s="594" t="s">
        <v>309</v>
      </c>
      <c r="F15" s="607">
        <v>3.5329999999999999</v>
      </c>
      <c r="G15" s="610">
        <f>ROUND(D15*F15,2)</f>
        <v>231851.36</v>
      </c>
      <c r="H15" s="542"/>
      <c r="I15" s="542"/>
      <c r="J15" s="542"/>
      <c r="K15" s="542"/>
      <c r="L15" s="550"/>
    </row>
    <row r="16" spans="1:12" ht="36" x14ac:dyDescent="0.2">
      <c r="A16" s="587">
        <v>4</v>
      </c>
      <c r="B16" s="7" t="s">
        <v>80</v>
      </c>
      <c r="C16" s="591" t="s">
        <v>311</v>
      </c>
      <c r="D16" s="599">
        <f>ПОЖ!H21</f>
        <v>2500</v>
      </c>
      <c r="E16" s="594" t="s">
        <v>309</v>
      </c>
      <c r="F16" s="607">
        <v>3.5329999999999999</v>
      </c>
      <c r="G16" s="610">
        <f>ROUND(D16*F16,2)</f>
        <v>8832.5</v>
      </c>
      <c r="H16" s="542"/>
      <c r="I16" s="542"/>
      <c r="J16" s="542"/>
      <c r="K16" s="542"/>
      <c r="L16" s="550"/>
    </row>
    <row r="17" spans="1:12" ht="36" x14ac:dyDescent="0.2">
      <c r="A17" s="587">
        <v>5</v>
      </c>
      <c r="B17" s="205" t="s">
        <v>299</v>
      </c>
      <c r="C17" s="591" t="s">
        <v>313</v>
      </c>
      <c r="D17" s="599">
        <f>РДП!H21</f>
        <v>67849.2</v>
      </c>
      <c r="E17" s="594" t="s">
        <v>312</v>
      </c>
      <c r="F17" s="607">
        <v>3.92</v>
      </c>
      <c r="G17" s="610">
        <f>ROUND(D17*F17,2)</f>
        <v>265968.86</v>
      </c>
      <c r="H17" s="542"/>
      <c r="I17" s="542"/>
      <c r="J17" s="542"/>
      <c r="K17" s="542"/>
      <c r="L17" s="550"/>
    </row>
    <row r="18" spans="1:12" ht="36" x14ac:dyDescent="0.2">
      <c r="A18" s="587">
        <v>6</v>
      </c>
      <c r="B18" s="205" t="s">
        <v>175</v>
      </c>
      <c r="C18" s="591" t="s">
        <v>314</v>
      </c>
      <c r="D18" s="599">
        <f>СОГЛ!G17</f>
        <v>19851.03</v>
      </c>
      <c r="E18" s="594" t="s">
        <v>309</v>
      </c>
      <c r="F18" s="607">
        <v>3.5329999999999999</v>
      </c>
      <c r="G18" s="610">
        <f t="shared" ref="G18" si="0">ROUND(D18*F18,2)</f>
        <v>70133.69</v>
      </c>
    </row>
    <row r="19" spans="1:12" ht="19.5" customHeight="1" x14ac:dyDescent="0.2">
      <c r="A19" s="587"/>
      <c r="B19" s="552" t="s">
        <v>94</v>
      </c>
      <c r="C19" s="591"/>
      <c r="D19" s="601">
        <f>SUM(D14:D18)</f>
        <v>320709.04000000004</v>
      </c>
      <c r="E19" s="596"/>
      <c r="F19" s="605"/>
      <c r="G19" s="600">
        <f>ROUND(SUM(G14:G18),2)</f>
        <v>1159322.68</v>
      </c>
    </row>
    <row r="20" spans="1:12" s="553" customFormat="1" ht="19.5" customHeight="1" thickBot="1" x14ac:dyDescent="0.25">
      <c r="A20" s="589"/>
      <c r="B20" s="616" t="s">
        <v>315</v>
      </c>
      <c r="C20" s="617"/>
      <c r="D20" s="602">
        <f>ROUND(D12+D19,2)</f>
        <v>335599.24</v>
      </c>
      <c r="E20" s="597"/>
      <c r="F20" s="608"/>
      <c r="G20" s="612">
        <f>G12+G19</f>
        <v>1217841.17</v>
      </c>
    </row>
    <row r="21" spans="1:12" s="1" customFormat="1" x14ac:dyDescent="0.2">
      <c r="D21" s="2"/>
      <c r="E21" s="554"/>
      <c r="G21" s="5"/>
      <c r="H21" s="4"/>
    </row>
    <row r="22" spans="1:12" s="559" customFormat="1" ht="14.25" x14ac:dyDescent="0.2">
      <c r="A22" s="555"/>
      <c r="B22" s="618" t="s">
        <v>86</v>
      </c>
      <c r="C22" s="618"/>
      <c r="D22" s="556"/>
      <c r="E22" s="557"/>
      <c r="F22" s="557"/>
      <c r="G22" s="558">
        <f>G20</f>
        <v>1217841.17</v>
      </c>
    </row>
    <row r="23" spans="1:12" s="559" customFormat="1" x14ac:dyDescent="0.2">
      <c r="A23" s="555"/>
      <c r="B23" s="618" t="s">
        <v>1</v>
      </c>
      <c r="C23" s="618"/>
      <c r="D23" s="556"/>
      <c r="E23" s="557"/>
      <c r="F23" s="557"/>
      <c r="G23" s="560">
        <f>ROUND(G22*0.18,2)</f>
        <v>219211.41</v>
      </c>
    </row>
    <row r="24" spans="1:12" s="559" customFormat="1" x14ac:dyDescent="0.2">
      <c r="A24" s="555"/>
      <c r="B24" s="618" t="s">
        <v>87</v>
      </c>
      <c r="C24" s="618"/>
      <c r="D24" s="556"/>
      <c r="E24" s="557"/>
      <c r="F24" s="557"/>
      <c r="G24" s="560">
        <f>ROUND(SUM(G22:G23),2)</f>
        <v>1437052.58</v>
      </c>
    </row>
    <row r="25" spans="1:12" s="564" customFormat="1" x14ac:dyDescent="0.2">
      <c r="A25" s="544"/>
      <c r="B25" s="561"/>
      <c r="C25" s="562"/>
      <c r="D25" s="563"/>
      <c r="E25" s="547"/>
    </row>
    <row r="26" spans="1:12" s="564" customFormat="1" x14ac:dyDescent="0.2">
      <c r="A26" s="544"/>
      <c r="B26" s="561"/>
      <c r="C26" s="562"/>
      <c r="D26" s="563"/>
      <c r="E26" s="547"/>
    </row>
    <row r="27" spans="1:12" s="564" customFormat="1" x14ac:dyDescent="0.2">
      <c r="A27" s="544"/>
      <c r="B27" s="561"/>
      <c r="C27" s="562"/>
      <c r="D27" s="563"/>
      <c r="E27" s="547"/>
    </row>
    <row r="28" spans="1:12" s="564" customFormat="1" x14ac:dyDescent="0.2">
      <c r="A28" s="544"/>
      <c r="B28" s="561"/>
      <c r="C28" s="562"/>
      <c r="D28" s="563"/>
      <c r="E28" s="547"/>
    </row>
    <row r="29" spans="1:12" s="565" customFormat="1" x14ac:dyDescent="0.2">
      <c r="A29" s="544"/>
      <c r="B29" s="1"/>
      <c r="C29" s="1"/>
      <c r="D29" s="1"/>
      <c r="E29" s="1"/>
      <c r="G29" s="566"/>
    </row>
    <row r="30" spans="1:12" s="567" customFormat="1" x14ac:dyDescent="0.2">
      <c r="A30" s="544"/>
      <c r="B30" s="499"/>
      <c r="C30" s="499"/>
      <c r="D30" s="499"/>
      <c r="E30" s="499"/>
      <c r="F30" s="553"/>
    </row>
    <row r="31" spans="1:12" s="567" customFormat="1" x14ac:dyDescent="0.2">
      <c r="A31" s="544"/>
      <c r="B31" s="499"/>
      <c r="C31" s="499"/>
      <c r="D31" s="499"/>
      <c r="E31" s="499"/>
      <c r="F31" s="553"/>
    </row>
    <row r="32" spans="1:12" s="544" customFormat="1" x14ac:dyDescent="0.2">
      <c r="A32" s="565"/>
      <c r="B32" s="1"/>
      <c r="C32" s="1"/>
      <c r="D32" s="1"/>
      <c r="E32" s="2"/>
    </row>
    <row r="33" spans="1:5" s="544" customFormat="1" x14ac:dyDescent="0.2">
      <c r="A33" s="565"/>
      <c r="B33" s="1"/>
      <c r="C33" s="1"/>
      <c r="D33" s="1"/>
      <c r="E33" s="1"/>
    </row>
    <row r="34" spans="1:5" s="544" customFormat="1" x14ac:dyDescent="0.2">
      <c r="A34" s="565"/>
      <c r="B34" s="568"/>
      <c r="C34" s="568"/>
      <c r="D34" s="569"/>
      <c r="E34" s="570"/>
    </row>
    <row r="35" spans="1:5" s="544" customFormat="1" x14ac:dyDescent="0.2">
      <c r="A35" s="565"/>
      <c r="B35" s="568"/>
      <c r="C35" s="568"/>
      <c r="D35" s="569"/>
      <c r="E35" s="571"/>
    </row>
    <row r="36" spans="1:5" s="544" customFormat="1" x14ac:dyDescent="0.2">
      <c r="A36" s="565"/>
      <c r="B36" s="568"/>
      <c r="C36" s="568"/>
      <c r="D36" s="569"/>
      <c r="E36" s="570"/>
    </row>
    <row r="37" spans="1:5" x14ac:dyDescent="0.2">
      <c r="A37" s="544"/>
      <c r="B37" s="561"/>
      <c r="C37" s="562"/>
      <c r="D37" s="563"/>
      <c r="E37" s="547"/>
    </row>
    <row r="38" spans="1:5" x14ac:dyDescent="0.2">
      <c r="A38" s="544"/>
      <c r="B38" s="561"/>
      <c r="C38" s="562"/>
      <c r="D38" s="563"/>
      <c r="E38" s="547"/>
    </row>
    <row r="39" spans="1:5" x14ac:dyDescent="0.2">
      <c r="A39" s="544"/>
      <c r="B39" s="544"/>
      <c r="C39" s="572"/>
      <c r="D39" s="573"/>
      <c r="E39" s="547"/>
    </row>
    <row r="40" spans="1:5" x14ac:dyDescent="0.2">
      <c r="A40" s="574"/>
      <c r="D40" s="575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topLeftCell="A43" zoomScaleNormal="100" zoomScaleSheetLayoutView="100" workbookViewId="0">
      <selection activeCell="E68" sqref="E68"/>
    </sheetView>
  </sheetViews>
  <sheetFormatPr defaultRowHeight="12.75" x14ac:dyDescent="0.2"/>
  <cols>
    <col min="1" max="1" width="3.85546875" style="265" customWidth="1"/>
    <col min="2" max="2" width="37.7109375" style="265" customWidth="1"/>
    <col min="3" max="3" width="12" style="268" customWidth="1"/>
    <col min="4" max="4" width="12.42578125" style="266" bestFit="1" customWidth="1"/>
    <col min="5" max="5" width="27.7109375" style="265" customWidth="1"/>
    <col min="6" max="6" width="7.28515625" style="267" customWidth="1"/>
    <col min="7" max="7" width="35.42578125" style="265" customWidth="1"/>
    <col min="8" max="8" width="12.85546875" style="268" customWidth="1"/>
    <col min="9" max="9" width="15" style="237" customWidth="1"/>
    <col min="10" max="10" width="6.42578125" style="269" customWidth="1"/>
    <col min="11" max="11" width="10.5703125" style="269" customWidth="1"/>
    <col min="12" max="12" width="11.85546875" style="269" customWidth="1"/>
    <col min="13" max="13" width="7.42578125" style="269" customWidth="1"/>
    <col min="14" max="14" width="7.5703125" style="269" customWidth="1"/>
    <col min="15" max="16384" width="9.140625" style="265"/>
  </cols>
  <sheetData>
    <row r="1" spans="1:14" x14ac:dyDescent="0.2">
      <c r="C1" s="179"/>
      <c r="G1" s="15"/>
      <c r="H1" s="256"/>
    </row>
    <row r="2" spans="1:14" x14ac:dyDescent="0.2">
      <c r="C2" s="179"/>
      <c r="G2" s="15"/>
      <c r="H2" s="257"/>
    </row>
    <row r="3" spans="1:14" x14ac:dyDescent="0.2">
      <c r="C3" s="179"/>
      <c r="G3" s="263"/>
      <c r="H3" s="257"/>
    </row>
    <row r="4" spans="1:14" s="330" customFormat="1" ht="6.75" customHeight="1" x14ac:dyDescent="0.2">
      <c r="A4" s="327"/>
      <c r="B4" s="327"/>
      <c r="C4" s="328"/>
      <c r="D4" s="327"/>
      <c r="E4" s="327"/>
      <c r="F4" s="327"/>
      <c r="G4" s="327"/>
      <c r="H4" s="328"/>
      <c r="I4" s="329"/>
    </row>
    <row r="5" spans="1:14" ht="17.25" hidden="1" customHeight="1" x14ac:dyDescent="0.2">
      <c r="D5" s="18"/>
      <c r="F5" s="19"/>
      <c r="G5" s="325"/>
    </row>
    <row r="6" spans="1:14" ht="16.5" customHeight="1" x14ac:dyDescent="0.2">
      <c r="A6" s="648" t="s">
        <v>75</v>
      </c>
      <c r="B6" s="648"/>
      <c r="C6" s="648"/>
      <c r="D6" s="648"/>
      <c r="E6" s="648"/>
      <c r="F6" s="648"/>
      <c r="G6" s="648"/>
      <c r="H6" s="648"/>
    </row>
    <row r="7" spans="1:14" ht="16.5" customHeight="1" x14ac:dyDescent="0.2">
      <c r="A7" s="324"/>
      <c r="B7" s="324"/>
      <c r="C7" s="179"/>
      <c r="D7" s="324"/>
      <c r="E7" s="324"/>
      <c r="F7" s="324"/>
      <c r="G7" s="324"/>
      <c r="H7" s="179"/>
    </row>
    <row r="8" spans="1:14" ht="51" customHeight="1" x14ac:dyDescent="0.2">
      <c r="A8" s="649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8" s="649"/>
      <c r="C8" s="649"/>
      <c r="D8" s="649"/>
      <c r="E8" s="649"/>
      <c r="F8" s="649"/>
      <c r="G8" s="649"/>
      <c r="H8" s="649"/>
    </row>
    <row r="9" spans="1:14" ht="12" customHeight="1" x14ac:dyDescent="0.2">
      <c r="A9" s="649"/>
      <c r="B9" s="649"/>
      <c r="C9" s="649"/>
      <c r="D9" s="649"/>
      <c r="E9" s="649"/>
      <c r="F9" s="649"/>
      <c r="G9" s="649"/>
      <c r="H9" s="649"/>
    </row>
    <row r="10" spans="1:14" x14ac:dyDescent="0.2">
      <c r="A10" s="649" t="s">
        <v>91</v>
      </c>
      <c r="B10" s="649"/>
      <c r="C10" s="649"/>
      <c r="D10" s="649"/>
      <c r="E10" s="649"/>
      <c r="F10" s="649"/>
      <c r="G10" s="649"/>
      <c r="H10" s="649"/>
    </row>
    <row r="11" spans="1:14" x14ac:dyDescent="0.2">
      <c r="A11" s="650" t="s">
        <v>123</v>
      </c>
      <c r="B11" s="650"/>
      <c r="C11" s="650"/>
      <c r="D11" s="650"/>
      <c r="E11" s="650"/>
      <c r="F11" s="650"/>
      <c r="G11" s="650"/>
      <c r="H11" s="650"/>
    </row>
    <row r="12" spans="1:14" ht="18" customHeight="1" x14ac:dyDescent="0.2">
      <c r="A12" s="650" t="s">
        <v>124</v>
      </c>
      <c r="B12" s="650"/>
      <c r="C12" s="650"/>
      <c r="D12" s="650"/>
      <c r="E12" s="650"/>
      <c r="F12" s="650"/>
      <c r="G12" s="650"/>
      <c r="H12" s="650"/>
    </row>
    <row r="13" spans="1:14" ht="9.75" customHeight="1" thickBot="1" x14ac:dyDescent="0.25">
      <c r="B13" s="21"/>
      <c r="D13" s="265"/>
      <c r="I13" s="238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38" t="s">
        <v>3</v>
      </c>
      <c r="C14" s="639"/>
      <c r="D14" s="24" t="s">
        <v>9</v>
      </c>
      <c r="E14" s="25" t="s">
        <v>4</v>
      </c>
      <c r="F14" s="26" t="s">
        <v>5</v>
      </c>
      <c r="G14" s="323" t="s">
        <v>0</v>
      </c>
      <c r="H14" s="24" t="s">
        <v>6</v>
      </c>
    </row>
    <row r="15" spans="1:14" ht="13.5" thickBot="1" x14ac:dyDescent="0.25">
      <c r="A15" s="27"/>
      <c r="B15" s="638" t="s">
        <v>95</v>
      </c>
      <c r="C15" s="647"/>
      <c r="D15" s="647"/>
      <c r="E15" s="647"/>
      <c r="F15" s="647"/>
      <c r="G15" s="647"/>
      <c r="H15" s="639"/>
    </row>
    <row r="16" spans="1:14" ht="14.25" thickBot="1" x14ac:dyDescent="0.3">
      <c r="A16" s="655" t="s">
        <v>319</v>
      </c>
      <c r="B16" s="656"/>
      <c r="C16" s="656"/>
      <c r="D16" s="656"/>
      <c r="E16" s="656"/>
      <c r="F16" s="656"/>
      <c r="G16" s="656"/>
      <c r="H16" s="657"/>
    </row>
    <row r="17" spans="1:8" x14ac:dyDescent="0.2">
      <c r="A17" s="667">
        <v>1</v>
      </c>
      <c r="B17" s="302" t="s">
        <v>195</v>
      </c>
      <c r="C17" s="303">
        <f>C22+C21</f>
        <v>13</v>
      </c>
      <c r="D17" s="292">
        <f>ROUND(C19+C17*C20,2)</f>
        <v>25200</v>
      </c>
      <c r="E17" s="583"/>
      <c r="F17" s="584"/>
      <c r="G17" s="304"/>
      <c r="H17" s="280"/>
    </row>
    <row r="18" spans="1:8" ht="25.5" x14ac:dyDescent="0.2">
      <c r="A18" s="668"/>
      <c r="B18" s="305" t="s">
        <v>328</v>
      </c>
      <c r="C18" s="306"/>
      <c r="D18" s="281"/>
      <c r="E18" s="373" t="s">
        <v>277</v>
      </c>
      <c r="F18" s="284">
        <v>1.1000000000000001</v>
      </c>
      <c r="G18" s="282"/>
      <c r="H18" s="283"/>
    </row>
    <row r="19" spans="1:8" ht="25.5" x14ac:dyDescent="0.2">
      <c r="A19" s="668"/>
      <c r="B19" s="307" t="s">
        <v>316</v>
      </c>
      <c r="C19" s="293">
        <v>25200</v>
      </c>
      <c r="D19" s="281"/>
      <c r="E19" s="373" t="s">
        <v>278</v>
      </c>
      <c r="F19" s="284">
        <v>1.1499999999999999</v>
      </c>
      <c r="G19" s="282"/>
      <c r="H19" s="469"/>
    </row>
    <row r="20" spans="1:8" x14ac:dyDescent="0.2">
      <c r="A20" s="668"/>
      <c r="B20" s="308" t="s">
        <v>12</v>
      </c>
      <c r="C20" s="293"/>
      <c r="D20" s="281"/>
      <c r="E20" s="373" t="s">
        <v>320</v>
      </c>
      <c r="F20" s="284">
        <v>1.75</v>
      </c>
      <c r="G20" s="287"/>
      <c r="H20" s="288"/>
    </row>
    <row r="21" spans="1:8" x14ac:dyDescent="0.2">
      <c r="A21" s="581"/>
      <c r="B21" s="585" t="s">
        <v>326</v>
      </c>
      <c r="C21" s="317">
        <v>10</v>
      </c>
      <c r="E21" s="373"/>
      <c r="F21" s="284"/>
      <c r="G21" s="321" t="str">
        <f>CONCATENATE(D17,"*",F18,"*",F20,"*",C21,"/",C17)</f>
        <v>25200*1,1*1,75*10/13</v>
      </c>
      <c r="H21" s="283">
        <f>ROUND(D17*F18*F20*C21/C17,2)</f>
        <v>37315.379999999997</v>
      </c>
    </row>
    <row r="22" spans="1:8" ht="39" thickBot="1" x14ac:dyDescent="0.25">
      <c r="A22" s="581"/>
      <c r="B22" s="313" t="s">
        <v>321</v>
      </c>
      <c r="C22" s="317">
        <v>3</v>
      </c>
      <c r="D22" s="281"/>
      <c r="E22" s="373" t="s">
        <v>322</v>
      </c>
      <c r="F22" s="284">
        <v>2</v>
      </c>
      <c r="G22" s="321" t="str">
        <f>CONCATENATE(D17,"*",F22,"*",C22,"/",C17)</f>
        <v>25200*2*3/13</v>
      </c>
      <c r="H22" s="283">
        <f>ROUND(D17*F22*C22/C17,2)</f>
        <v>11630.77</v>
      </c>
    </row>
    <row r="23" spans="1:8" ht="14.25" thickBot="1" x14ac:dyDescent="0.3">
      <c r="A23" s="655" t="s">
        <v>324</v>
      </c>
      <c r="B23" s="656"/>
      <c r="C23" s="656"/>
      <c r="D23" s="656"/>
      <c r="E23" s="656"/>
      <c r="F23" s="656"/>
      <c r="G23" s="656"/>
      <c r="H23" s="657"/>
    </row>
    <row r="24" spans="1:8" ht="13.5" thickBot="1" x14ac:dyDescent="0.25">
      <c r="A24" s="615"/>
      <c r="B24" s="294" t="s">
        <v>330</v>
      </c>
      <c r="C24" s="318"/>
      <c r="D24" s="295"/>
      <c r="E24" s="296"/>
      <c r="F24" s="270"/>
      <c r="G24" s="297"/>
      <c r="H24" s="298"/>
    </row>
    <row r="25" spans="1:8" ht="25.5" x14ac:dyDescent="0.2">
      <c r="A25" s="658">
        <v>2</v>
      </c>
      <c r="B25" s="483" t="s">
        <v>280</v>
      </c>
      <c r="C25" s="484">
        <f>(6.2+5.6)*2*2.5</f>
        <v>59</v>
      </c>
      <c r="D25" s="292">
        <f>C27+C28*C25</f>
        <v>98180</v>
      </c>
      <c r="E25" s="369" t="s">
        <v>325</v>
      </c>
      <c r="F25" s="271">
        <v>1.2</v>
      </c>
      <c r="G25" s="272" t="str">
        <f>CONCATENATE(D25," * ",F25," * ",F26,"*",F27)</f>
        <v>98180 * 1,2 * 1*0,1</v>
      </c>
      <c r="H25" s="280">
        <f>ROUND(D25*F25*F26*F27,2)</f>
        <v>11781.6</v>
      </c>
    </row>
    <row r="26" spans="1:8" x14ac:dyDescent="0.2">
      <c r="A26" s="659"/>
      <c r="B26" s="485" t="s">
        <v>329</v>
      </c>
      <c r="C26" s="576"/>
      <c r="D26" s="281"/>
      <c r="E26" s="370" t="s">
        <v>281</v>
      </c>
      <c r="F26" s="284">
        <v>1</v>
      </c>
      <c r="G26" s="287"/>
      <c r="H26" s="288"/>
    </row>
    <row r="27" spans="1:8" ht="25.5" x14ac:dyDescent="0.2">
      <c r="A27" s="659"/>
      <c r="B27" s="286" t="s">
        <v>282</v>
      </c>
      <c r="C27" s="486">
        <v>38000</v>
      </c>
      <c r="D27" s="487"/>
      <c r="E27" s="371" t="s">
        <v>330</v>
      </c>
      <c r="F27" s="284">
        <v>0.1</v>
      </c>
      <c r="G27" s="287"/>
      <c r="H27" s="285"/>
    </row>
    <row r="28" spans="1:8" ht="13.5" thickBot="1" x14ac:dyDescent="0.25">
      <c r="A28" s="660"/>
      <c r="B28" s="289" t="s">
        <v>12</v>
      </c>
      <c r="C28" s="534">
        <v>1020</v>
      </c>
      <c r="D28" s="488"/>
      <c r="E28" s="489"/>
      <c r="F28" s="490"/>
      <c r="G28" s="299"/>
      <c r="H28" s="291"/>
    </row>
    <row r="29" spans="1:8" ht="13.5" thickBot="1" x14ac:dyDescent="0.25">
      <c r="A29" s="615"/>
      <c r="B29" s="294" t="s">
        <v>201</v>
      </c>
      <c r="C29" s="318"/>
      <c r="D29" s="295"/>
      <c r="E29" s="296"/>
      <c r="F29" s="270"/>
      <c r="G29" s="297"/>
      <c r="H29" s="298"/>
    </row>
    <row r="30" spans="1:8" ht="25.5" x14ac:dyDescent="0.2">
      <c r="A30" s="658">
        <v>3</v>
      </c>
      <c r="B30" s="286" t="s">
        <v>202</v>
      </c>
      <c r="C30" s="319"/>
      <c r="D30" s="300">
        <f>ROUND(C32+C30*C33,2)</f>
        <v>11000</v>
      </c>
      <c r="E30" s="369" t="s">
        <v>325</v>
      </c>
      <c r="F30" s="271">
        <v>1.2</v>
      </c>
      <c r="G30" s="272" t="str">
        <f>CONCATENATE(D30," * ",F30," * ",F31,"*",F32)</f>
        <v>11000 * 1,2 * 1*1</v>
      </c>
      <c r="H30" s="280">
        <f>ROUND(D30*F30*F31*F32,2)</f>
        <v>13200</v>
      </c>
    </row>
    <row r="31" spans="1:8" x14ac:dyDescent="0.2">
      <c r="A31" s="659"/>
      <c r="B31" s="309"/>
      <c r="C31" s="293"/>
      <c r="D31" s="281"/>
      <c r="E31" s="370" t="s">
        <v>203</v>
      </c>
      <c r="F31" s="284">
        <v>1</v>
      </c>
      <c r="G31" s="287"/>
      <c r="H31" s="288"/>
    </row>
    <row r="32" spans="1:8" x14ac:dyDescent="0.2">
      <c r="A32" s="659"/>
      <c r="B32" s="286" t="s">
        <v>323</v>
      </c>
      <c r="C32" s="293">
        <v>11000</v>
      </c>
      <c r="D32" s="281"/>
      <c r="E32" s="371" t="s">
        <v>201</v>
      </c>
      <c r="F32" s="284">
        <v>1</v>
      </c>
      <c r="G32" s="287"/>
      <c r="H32" s="285"/>
    </row>
    <row r="33" spans="1:14" ht="13.5" thickBot="1" x14ac:dyDescent="0.25">
      <c r="A33" s="660"/>
      <c r="B33" s="289" t="s">
        <v>12</v>
      </c>
      <c r="C33" s="320"/>
      <c r="D33" s="301"/>
      <c r="E33" s="372"/>
      <c r="F33" s="290"/>
      <c r="G33" s="299"/>
      <c r="H33" s="291"/>
    </row>
    <row r="34" spans="1:14" ht="14.25" thickBot="1" x14ac:dyDescent="0.3">
      <c r="A34" s="655" t="s">
        <v>204</v>
      </c>
      <c r="B34" s="656"/>
      <c r="C34" s="656"/>
      <c r="D34" s="656"/>
      <c r="E34" s="656"/>
      <c r="F34" s="656"/>
      <c r="G34" s="656"/>
      <c r="H34" s="657"/>
    </row>
    <row r="35" spans="1:14" x14ac:dyDescent="0.2">
      <c r="A35" s="667">
        <v>4</v>
      </c>
      <c r="B35" s="631" t="s">
        <v>196</v>
      </c>
      <c r="C35" s="470">
        <f>C17</f>
        <v>13</v>
      </c>
      <c r="D35" s="9">
        <f>ROUND(C37+C35*C38,2)</f>
        <v>21000</v>
      </c>
      <c r="E35" s="273"/>
      <c r="F35" s="271"/>
      <c r="G35" s="272">
        <f>ROUND(D35,2)</f>
        <v>21000</v>
      </c>
      <c r="H35" s="274">
        <f>ROUND(D35,2)</f>
        <v>21000</v>
      </c>
    </row>
    <row r="36" spans="1:14" ht="24.75" customHeight="1" x14ac:dyDescent="0.2">
      <c r="A36" s="668"/>
      <c r="B36" s="632"/>
      <c r="C36" s="471"/>
      <c r="D36" s="10"/>
      <c r="E36" s="468"/>
      <c r="F36" s="270"/>
      <c r="G36" s="275"/>
      <c r="H36" s="11"/>
    </row>
    <row r="37" spans="1:14" x14ac:dyDescent="0.2">
      <c r="A37" s="668"/>
      <c r="B37" s="537" t="s">
        <v>197</v>
      </c>
      <c r="C37" s="472">
        <v>21000</v>
      </c>
      <c r="D37" s="10"/>
      <c r="E37" s="468"/>
      <c r="F37" s="276"/>
      <c r="G37" s="275"/>
      <c r="H37" s="277"/>
    </row>
    <row r="38" spans="1:14" ht="13.5" thickBot="1" x14ac:dyDescent="0.25">
      <c r="A38" s="676"/>
      <c r="B38" s="310" t="s">
        <v>12</v>
      </c>
      <c r="C38" s="472"/>
      <c r="D38" s="10"/>
      <c r="E38" s="468"/>
      <c r="F38" s="276"/>
      <c r="G38" s="311"/>
      <c r="H38" s="312"/>
    </row>
    <row r="39" spans="1:14" ht="13.5" thickBot="1" x14ac:dyDescent="0.25">
      <c r="A39" s="326"/>
      <c r="B39" s="673" t="s">
        <v>84</v>
      </c>
      <c r="C39" s="674"/>
      <c r="D39" s="674"/>
      <c r="E39" s="674"/>
      <c r="F39" s="674"/>
      <c r="G39" s="675"/>
      <c r="H39" s="258">
        <f>SUM(H17:H38)</f>
        <v>94927.75</v>
      </c>
    </row>
    <row r="40" spans="1:14" ht="23.25" thickBot="1" x14ac:dyDescent="0.25">
      <c r="A40" s="28"/>
      <c r="B40" s="672" t="s">
        <v>96</v>
      </c>
      <c r="C40" s="672"/>
      <c r="D40" s="672"/>
      <c r="E40" s="322" t="s">
        <v>210</v>
      </c>
      <c r="F40" s="30">
        <v>1.02</v>
      </c>
      <c r="G40" s="31" t="str">
        <f>CONCATENATE(H39," * ",F40)</f>
        <v>94927,75 * 1,02</v>
      </c>
      <c r="H40" s="46">
        <f>ROUND(H39*F40,2)</f>
        <v>96826.31</v>
      </c>
    </row>
    <row r="41" spans="1:14" ht="13.5" thickBot="1" x14ac:dyDescent="0.25">
      <c r="A41" s="669" t="s">
        <v>13</v>
      </c>
      <c r="B41" s="670"/>
      <c r="C41" s="670"/>
      <c r="D41" s="670"/>
      <c r="E41" s="670"/>
      <c r="F41" s="670"/>
      <c r="G41" s="670"/>
      <c r="H41" s="671"/>
    </row>
    <row r="42" spans="1:14" ht="21.75" customHeight="1" x14ac:dyDescent="0.2">
      <c r="A42" s="664" t="s">
        <v>2</v>
      </c>
      <c r="B42" s="665"/>
      <c r="C42" s="665"/>
      <c r="D42" s="665"/>
      <c r="E42" s="665"/>
      <c r="F42" s="665"/>
      <c r="G42" s="665"/>
      <c r="H42" s="666"/>
      <c r="J42" s="661" t="s">
        <v>144</v>
      </c>
      <c r="K42" s="661" t="s">
        <v>145</v>
      </c>
      <c r="L42" s="661" t="s">
        <v>146</v>
      </c>
      <c r="M42" s="661" t="s">
        <v>147</v>
      </c>
      <c r="N42" s="661"/>
    </row>
    <row r="43" spans="1:14" ht="26.25" thickBot="1" x14ac:dyDescent="0.25">
      <c r="A43" s="662" t="s">
        <v>116</v>
      </c>
      <c r="B43" s="650"/>
      <c r="C43" s="650"/>
      <c r="D43" s="650"/>
      <c r="E43" s="650"/>
      <c r="F43" s="650"/>
      <c r="G43" s="650"/>
      <c r="H43" s="663"/>
      <c r="J43" s="661"/>
      <c r="K43" s="661"/>
      <c r="L43" s="661"/>
      <c r="M43" s="331" t="s">
        <v>148</v>
      </c>
      <c r="N43" s="331" t="s">
        <v>149</v>
      </c>
    </row>
    <row r="44" spans="1:14" ht="26.25" customHeight="1" thickBot="1" x14ac:dyDescent="0.25">
      <c r="A44" s="25" t="s">
        <v>17</v>
      </c>
      <c r="B44" s="638" t="s">
        <v>3</v>
      </c>
      <c r="C44" s="639"/>
      <c r="D44" s="24" t="s">
        <v>9</v>
      </c>
      <c r="E44" s="25" t="s">
        <v>4</v>
      </c>
      <c r="F44" s="26" t="s">
        <v>5</v>
      </c>
      <c r="G44" s="323" t="s">
        <v>0</v>
      </c>
      <c r="H44" s="24" t="s">
        <v>6</v>
      </c>
      <c r="J44" s="652">
        <v>1</v>
      </c>
      <c r="K44" s="652" t="s">
        <v>150</v>
      </c>
      <c r="L44" s="332" t="s">
        <v>151</v>
      </c>
      <c r="M44" s="332">
        <v>54</v>
      </c>
      <c r="N44" s="332" t="s">
        <v>152</v>
      </c>
    </row>
    <row r="45" spans="1:14" x14ac:dyDescent="0.2">
      <c r="A45" s="640">
        <v>1</v>
      </c>
      <c r="B45" s="32" t="s">
        <v>117</v>
      </c>
      <c r="C45" s="473">
        <f>C53</f>
        <v>1.2999999999999999E-2</v>
      </c>
      <c r="D45" s="259">
        <f>ROUND(C46+C47*C45,2)</f>
        <v>54000</v>
      </c>
      <c r="E45" s="33"/>
      <c r="F45" s="34"/>
      <c r="G45" s="35">
        <f>ROUND(D45,2)</f>
        <v>54000</v>
      </c>
      <c r="H45" s="36">
        <f>ROUND(G45,2)</f>
        <v>54000</v>
      </c>
      <c r="J45" s="652"/>
      <c r="K45" s="652"/>
      <c r="L45" s="332" t="s">
        <v>153</v>
      </c>
      <c r="M45" s="332">
        <v>7</v>
      </c>
      <c r="N45" s="332">
        <v>94</v>
      </c>
    </row>
    <row r="46" spans="1:14" x14ac:dyDescent="0.2">
      <c r="A46" s="640"/>
      <c r="B46" s="37" t="s">
        <v>7</v>
      </c>
      <c r="C46" s="314">
        <v>54000</v>
      </c>
      <c r="D46" s="259"/>
      <c r="E46" s="33"/>
      <c r="F46" s="34"/>
      <c r="G46" s="38"/>
      <c r="H46" s="36"/>
      <c r="J46" s="652"/>
      <c r="K46" s="652"/>
      <c r="L46" s="332" t="s">
        <v>154</v>
      </c>
      <c r="M46" s="332">
        <v>12.5</v>
      </c>
      <c r="N46" s="332">
        <v>88.5</v>
      </c>
    </row>
    <row r="47" spans="1:14" ht="13.5" thickBot="1" x14ac:dyDescent="0.25">
      <c r="A47" s="640"/>
      <c r="B47" s="37" t="s">
        <v>8</v>
      </c>
      <c r="C47" s="314"/>
      <c r="D47" s="259"/>
      <c r="E47" s="33"/>
      <c r="F47" s="34"/>
      <c r="G47" s="39"/>
      <c r="H47" s="11"/>
      <c r="I47" s="239"/>
      <c r="J47" s="652"/>
      <c r="K47" s="652"/>
      <c r="L47" s="332" t="s">
        <v>155</v>
      </c>
      <c r="M47" s="332">
        <v>100</v>
      </c>
      <c r="N47" s="332">
        <v>71</v>
      </c>
    </row>
    <row r="48" spans="1:14" ht="13.5" thickBot="1" x14ac:dyDescent="0.25">
      <c r="A48" s="40"/>
      <c r="B48" s="41" t="s">
        <v>18</v>
      </c>
      <c r="C48" s="315"/>
      <c r="D48" s="42"/>
      <c r="E48" s="43"/>
      <c r="F48" s="44"/>
      <c r="G48" s="45"/>
      <c r="H48" s="46">
        <f>H45</f>
        <v>54000</v>
      </c>
      <c r="I48" s="239"/>
      <c r="J48" s="652"/>
      <c r="K48" s="652"/>
      <c r="L48" s="332" t="s">
        <v>156</v>
      </c>
      <c r="M48" s="332">
        <v>234</v>
      </c>
      <c r="N48" s="332">
        <v>57.6</v>
      </c>
    </row>
    <row r="49" spans="1:18" ht="13.5" thickBot="1" x14ac:dyDescent="0.25">
      <c r="A49" s="641" t="s">
        <v>10</v>
      </c>
      <c r="B49" s="642"/>
      <c r="C49" s="642"/>
      <c r="D49" s="642"/>
      <c r="E49" s="642"/>
      <c r="F49" s="642"/>
      <c r="G49" s="642"/>
      <c r="H49" s="643"/>
      <c r="I49" s="239"/>
      <c r="J49" s="652"/>
      <c r="K49" s="652"/>
      <c r="L49" s="332" t="s">
        <v>157</v>
      </c>
      <c r="M49" s="332">
        <v>288</v>
      </c>
      <c r="N49" s="332">
        <v>54</v>
      </c>
    </row>
    <row r="50" spans="1:18" ht="31.5" customHeight="1" thickBot="1" x14ac:dyDescent="0.25">
      <c r="A50" s="634" t="s">
        <v>211</v>
      </c>
      <c r="B50" s="635"/>
      <c r="C50" s="635"/>
      <c r="D50" s="635"/>
      <c r="E50" s="635"/>
      <c r="F50" s="635"/>
      <c r="G50" s="635"/>
      <c r="H50" s="636"/>
      <c r="I50" s="239"/>
      <c r="J50" s="652"/>
      <c r="K50" s="652"/>
      <c r="L50" s="332" t="s">
        <v>158</v>
      </c>
      <c r="M50" s="332">
        <v>368</v>
      </c>
      <c r="N50" s="332">
        <v>50</v>
      </c>
    </row>
    <row r="51" spans="1:18" x14ac:dyDescent="0.2">
      <c r="A51" s="333"/>
      <c r="B51" s="334" t="s">
        <v>73</v>
      </c>
      <c r="C51" s="335">
        <f>C35</f>
        <v>13</v>
      </c>
      <c r="D51" s="336" t="s">
        <v>15</v>
      </c>
      <c r="E51" s="337"/>
      <c r="F51" s="337"/>
      <c r="G51" s="337"/>
      <c r="H51" s="338"/>
      <c r="I51" s="239"/>
      <c r="J51" s="652"/>
      <c r="K51" s="652"/>
      <c r="L51" s="332" t="s">
        <v>159</v>
      </c>
      <c r="M51" s="332">
        <v>707</v>
      </c>
      <c r="N51" s="332">
        <v>38.700000000000003</v>
      </c>
    </row>
    <row r="52" spans="1:18" ht="15" customHeight="1" x14ac:dyDescent="0.2">
      <c r="A52" s="339"/>
      <c r="B52" s="340" t="s">
        <v>118</v>
      </c>
      <c r="C52" s="341">
        <f>ROUND(C51*10,2)</f>
        <v>130</v>
      </c>
      <c r="D52" s="342" t="s">
        <v>119</v>
      </c>
      <c r="E52" s="343"/>
      <c r="F52" s="343"/>
      <c r="G52" s="343"/>
      <c r="H52" s="344"/>
      <c r="I52" s="239"/>
      <c r="J52" s="652"/>
      <c r="K52" s="652"/>
      <c r="L52" s="332" t="s">
        <v>160</v>
      </c>
      <c r="M52" s="332">
        <v>2255</v>
      </c>
      <c r="N52" s="332" t="s">
        <v>152</v>
      </c>
    </row>
    <row r="53" spans="1:18" ht="15.75" customHeight="1" thickBot="1" x14ac:dyDescent="0.25">
      <c r="A53" s="345"/>
      <c r="B53" s="346" t="s">
        <v>118</v>
      </c>
      <c r="C53" s="474">
        <f>ROUND(C52/10000,4)</f>
        <v>1.2999999999999999E-2</v>
      </c>
      <c r="D53" s="347" t="s">
        <v>16</v>
      </c>
      <c r="E53" s="348"/>
      <c r="F53" s="348"/>
      <c r="G53" s="348"/>
      <c r="H53" s="349"/>
      <c r="I53" s="239"/>
      <c r="J53" s="265"/>
      <c r="K53" s="265"/>
      <c r="L53" s="265"/>
      <c r="M53" s="265"/>
      <c r="N53" s="265"/>
    </row>
    <row r="54" spans="1:18" ht="16.5" customHeight="1" x14ac:dyDescent="0.2">
      <c r="A54" s="350"/>
      <c r="B54" s="637" t="s">
        <v>98</v>
      </c>
      <c r="C54" s="637"/>
      <c r="D54" s="637"/>
      <c r="E54" s="351"/>
      <c r="F54" s="352"/>
      <c r="G54" s="353" t="s">
        <v>14</v>
      </c>
      <c r="H54" s="354"/>
      <c r="I54" s="239"/>
      <c r="J54" s="265"/>
      <c r="K54" s="265"/>
      <c r="L54" s="265"/>
      <c r="M54" s="265"/>
      <c r="N54" s="265"/>
    </row>
    <row r="55" spans="1:18" s="48" customFormat="1" ht="24.75" customHeight="1" x14ac:dyDescent="0.2">
      <c r="A55" s="374">
        <v>1</v>
      </c>
      <c r="B55" s="375" t="s">
        <v>272</v>
      </c>
      <c r="C55" s="376"/>
      <c r="D55" s="377">
        <v>2038</v>
      </c>
      <c r="E55" s="368" t="s">
        <v>267</v>
      </c>
      <c r="F55" s="378">
        <v>0.75</v>
      </c>
      <c r="G55" s="47" t="str">
        <f>CONCATENATE(D55,"*",F55)</f>
        <v>2038*0,75</v>
      </c>
      <c r="H55" s="355">
        <f>ROUND(D55*F55,2)</f>
        <v>1528.5</v>
      </c>
      <c r="I55" s="240"/>
      <c r="J55" s="653" t="s">
        <v>162</v>
      </c>
      <c r="K55" s="653"/>
      <c r="L55" s="653"/>
      <c r="M55" s="653"/>
      <c r="N55" s="653"/>
    </row>
    <row r="56" spans="1:18" s="48" customFormat="1" ht="36.75" customHeight="1" x14ac:dyDescent="0.2">
      <c r="A56" s="374">
        <v>2</v>
      </c>
      <c r="B56" s="375" t="s">
        <v>273</v>
      </c>
      <c r="C56" s="376"/>
      <c r="D56" s="377">
        <v>8099</v>
      </c>
      <c r="E56" s="456" t="s">
        <v>268</v>
      </c>
      <c r="F56" s="378">
        <v>0.75</v>
      </c>
      <c r="G56" s="47" t="str">
        <f t="shared" ref="G56:G59" si="0">CONCATENATE(D56,"*",F56)</f>
        <v>8099*0,75</v>
      </c>
      <c r="H56" s="355">
        <f>ROUND(D56*F56,2)</f>
        <v>6074.25</v>
      </c>
      <c r="I56" s="240"/>
      <c r="J56" s="654" t="s">
        <v>161</v>
      </c>
      <c r="K56" s="654"/>
      <c r="L56" s="654"/>
      <c r="M56" s="654"/>
      <c r="N56" s="654"/>
    </row>
    <row r="57" spans="1:18" s="49" customFormat="1" ht="36.75" customHeight="1" x14ac:dyDescent="0.2">
      <c r="A57" s="374">
        <v>3</v>
      </c>
      <c r="B57" s="375" t="s">
        <v>274</v>
      </c>
      <c r="C57" s="376"/>
      <c r="D57" s="377">
        <v>2038</v>
      </c>
      <c r="E57" s="456" t="s">
        <v>269</v>
      </c>
      <c r="F57" s="378">
        <v>0.75</v>
      </c>
      <c r="G57" s="47" t="str">
        <f t="shared" si="0"/>
        <v>2038*0,75</v>
      </c>
      <c r="H57" s="355">
        <f>ROUND(D57*F57,2)</f>
        <v>1528.5</v>
      </c>
      <c r="I57" s="241"/>
      <c r="J57" s="654" t="s">
        <v>163</v>
      </c>
      <c r="K57" s="654"/>
      <c r="L57" s="654"/>
      <c r="M57" s="654"/>
      <c r="N57" s="654"/>
    </row>
    <row r="58" spans="1:18" s="49" customFormat="1" ht="24.75" customHeight="1" x14ac:dyDescent="0.2">
      <c r="A58" s="374">
        <v>4</v>
      </c>
      <c r="B58" s="375" t="s">
        <v>275</v>
      </c>
      <c r="C58" s="376"/>
      <c r="D58" s="377">
        <v>2495</v>
      </c>
      <c r="E58" s="456" t="s">
        <v>270</v>
      </c>
      <c r="F58" s="378">
        <v>0.75</v>
      </c>
      <c r="G58" s="47" t="str">
        <f t="shared" si="0"/>
        <v>2495*0,75</v>
      </c>
      <c r="H58" s="355">
        <f>ROUND(D58*F58,2)</f>
        <v>1871.25</v>
      </c>
      <c r="I58" s="241"/>
      <c r="J58" s="654" t="s">
        <v>164</v>
      </c>
      <c r="K58" s="654"/>
      <c r="L58" s="654"/>
      <c r="M58" s="654"/>
      <c r="N58" s="654"/>
    </row>
    <row r="59" spans="1:18" s="49" customFormat="1" ht="24.75" customHeight="1" thickBot="1" x14ac:dyDescent="0.25">
      <c r="A59" s="379">
        <v>5</v>
      </c>
      <c r="B59" s="380" t="s">
        <v>276</v>
      </c>
      <c r="C59" s="381"/>
      <c r="D59" s="382">
        <v>4074</v>
      </c>
      <c r="E59" s="456" t="s">
        <v>271</v>
      </c>
      <c r="F59" s="378">
        <v>0.75</v>
      </c>
      <c r="G59" s="47" t="str">
        <f t="shared" si="0"/>
        <v>4074*0,75</v>
      </c>
      <c r="H59" s="355">
        <f>ROUND(D59*F59,2)</f>
        <v>3055.5</v>
      </c>
      <c r="I59" s="241"/>
      <c r="J59" s="651" t="s">
        <v>165</v>
      </c>
      <c r="K59" s="651"/>
      <c r="L59" s="651"/>
      <c r="M59" s="651"/>
      <c r="N59" s="651"/>
    </row>
    <row r="60" spans="1:18" s="262" customFormat="1" ht="13.5" thickBot="1" x14ac:dyDescent="0.25">
      <c r="A60" s="356"/>
      <c r="B60" s="644" t="s">
        <v>11</v>
      </c>
      <c r="C60" s="645"/>
      <c r="D60" s="645"/>
      <c r="E60" s="645"/>
      <c r="F60" s="645"/>
      <c r="G60" s="646"/>
      <c r="H60" s="357">
        <f>SUM(H55:H59)</f>
        <v>14058</v>
      </c>
      <c r="I60" s="242"/>
      <c r="J60" s="358"/>
      <c r="K60" s="50"/>
      <c r="L60" s="50"/>
      <c r="M60" s="50"/>
      <c r="N60" s="50"/>
    </row>
    <row r="61" spans="1:18" s="49" customFormat="1" ht="13.5" thickBot="1" x14ac:dyDescent="0.25">
      <c r="A61" s="359"/>
      <c r="B61" s="360" t="s">
        <v>85</v>
      </c>
      <c r="C61" s="361"/>
      <c r="D61" s="362"/>
      <c r="E61" s="362"/>
      <c r="F61" s="362"/>
      <c r="G61" s="362"/>
      <c r="H61" s="46">
        <f>ROUND(H40+H48+H60,2)</f>
        <v>164884.31</v>
      </c>
      <c r="I61" s="363">
        <f>H39+H48+H60</f>
        <v>162985.75</v>
      </c>
      <c r="J61" s="241" t="s">
        <v>177</v>
      </c>
      <c r="O61" s="364"/>
      <c r="P61" s="365"/>
      <c r="Q61" s="366"/>
      <c r="R61" s="367"/>
    </row>
    <row r="62" spans="1:18" s="49" customFormat="1" ht="39.75" hidden="1" customHeight="1" thickBot="1" x14ac:dyDescent="0.25">
      <c r="A62" s="28"/>
      <c r="B62" s="633" t="s">
        <v>97</v>
      </c>
      <c r="C62" s="633"/>
      <c r="D62" s="633"/>
      <c r="E62" s="29" t="s">
        <v>120</v>
      </c>
      <c r="F62" s="264">
        <v>1</v>
      </c>
      <c r="G62" s="264" t="str">
        <f>CONCATENATE(H61," х ",F62)</f>
        <v>164884,31 х 1</v>
      </c>
      <c r="H62" s="46">
        <f>ROUND(H61*F62,2)</f>
        <v>164884.31</v>
      </c>
      <c r="I62" s="241"/>
      <c r="O62" s="364"/>
      <c r="P62" s="365"/>
      <c r="Q62" s="366"/>
      <c r="R62" s="367"/>
    </row>
    <row r="63" spans="1:18" s="49" customFormat="1" x14ac:dyDescent="0.2">
      <c r="A63" s="56"/>
      <c r="B63" s="57"/>
      <c r="C63" s="316"/>
      <c r="D63" s="57"/>
      <c r="E63" s="22"/>
      <c r="F63" s="58"/>
      <c r="G63" s="267"/>
      <c r="H63" s="59"/>
      <c r="I63" s="241"/>
      <c r="O63" s="364"/>
      <c r="P63" s="365"/>
      <c r="Q63" s="366"/>
      <c r="R63" s="367"/>
    </row>
    <row r="64" spans="1:18" s="49" customFormat="1" x14ac:dyDescent="0.2">
      <c r="A64" s="265"/>
      <c r="B64" s="265"/>
      <c r="C64" s="268"/>
      <c r="D64" s="266"/>
      <c r="E64" s="265"/>
      <c r="F64" s="267"/>
      <c r="G64" s="265"/>
      <c r="H64" s="268"/>
      <c r="I64" s="241"/>
      <c r="O64" s="364"/>
      <c r="P64" s="365"/>
      <c r="Q64" s="366"/>
      <c r="R64" s="367"/>
    </row>
    <row r="65" spans="1:18" s="49" customFormat="1" x14ac:dyDescent="0.2">
      <c r="A65" s="265"/>
      <c r="B65" s="265"/>
      <c r="C65" s="268"/>
      <c r="D65" s="266"/>
      <c r="E65" s="265"/>
      <c r="F65" s="267"/>
      <c r="G65" s="265"/>
      <c r="H65" s="268"/>
      <c r="I65" s="241"/>
      <c r="O65" s="364"/>
      <c r="P65" s="365"/>
      <c r="Q65" s="366"/>
      <c r="R65" s="367"/>
    </row>
    <row r="66" spans="1:18" s="49" customFormat="1" x14ac:dyDescent="0.2">
      <c r="A66" s="265"/>
      <c r="B66" s="265"/>
      <c r="C66" s="268"/>
      <c r="D66" s="266"/>
      <c r="E66" s="265"/>
      <c r="F66" s="267"/>
      <c r="G66" s="265"/>
      <c r="H66" s="268"/>
      <c r="I66" s="241"/>
    </row>
    <row r="67" spans="1:18" x14ac:dyDescent="0.2">
      <c r="I67" s="239"/>
      <c r="J67" s="265"/>
      <c r="K67" s="265"/>
      <c r="L67" s="265"/>
      <c r="M67" s="265"/>
      <c r="N67" s="265"/>
    </row>
  </sheetData>
  <mergeCells count="39">
    <mergeCell ref="A16:H16"/>
    <mergeCell ref="A17:A20"/>
    <mergeCell ref="A41:H41"/>
    <mergeCell ref="B40:D40"/>
    <mergeCell ref="B39:G39"/>
    <mergeCell ref="A35:A38"/>
    <mergeCell ref="A23:H23"/>
    <mergeCell ref="A25:A28"/>
    <mergeCell ref="A30:A33"/>
    <mergeCell ref="A34:H34"/>
    <mergeCell ref="M42:N42"/>
    <mergeCell ref="J42:J43"/>
    <mergeCell ref="K42:K43"/>
    <mergeCell ref="A43:H43"/>
    <mergeCell ref="L42:L43"/>
    <mergeCell ref="A42:H42"/>
    <mergeCell ref="J59:N59"/>
    <mergeCell ref="K44:K52"/>
    <mergeCell ref="J55:N55"/>
    <mergeCell ref="J56:N56"/>
    <mergeCell ref="J57:N57"/>
    <mergeCell ref="J58:N58"/>
    <mergeCell ref="J44:J52"/>
    <mergeCell ref="B15:H15"/>
    <mergeCell ref="A6:H6"/>
    <mergeCell ref="A8:H8"/>
    <mergeCell ref="A11:H11"/>
    <mergeCell ref="A12:H12"/>
    <mergeCell ref="B14:C14"/>
    <mergeCell ref="A9:H9"/>
    <mergeCell ref="A10:H10"/>
    <mergeCell ref="B35:B36"/>
    <mergeCell ref="B62:D62"/>
    <mergeCell ref="A50:H50"/>
    <mergeCell ref="B54:D54"/>
    <mergeCell ref="B44:C44"/>
    <mergeCell ref="A45:A47"/>
    <mergeCell ref="A49:H49"/>
    <mergeCell ref="B60:G60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3" zoomScaleNormal="150" zoomScaleSheetLayoutView="100" workbookViewId="0">
      <selection activeCell="D45" sqref="D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79" t="s">
        <v>74</v>
      </c>
      <c r="B5" s="679"/>
      <c r="C5" s="679"/>
      <c r="D5" s="679"/>
      <c r="E5" s="679"/>
      <c r="F5" s="679"/>
      <c r="G5" s="679"/>
      <c r="H5" s="100"/>
    </row>
    <row r="6" spans="1:20" ht="14.25" x14ac:dyDescent="0.2">
      <c r="A6" s="230"/>
      <c r="B6" s="230"/>
      <c r="C6" s="230"/>
      <c r="D6" s="230"/>
      <c r="E6" s="230"/>
      <c r="F6" s="230"/>
      <c r="G6" s="230"/>
      <c r="H6" s="100"/>
    </row>
    <row r="7" spans="1:20" ht="53.25" customHeight="1" x14ac:dyDescent="0.2">
      <c r="A7" s="680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7" s="681"/>
      <c r="C7" s="681"/>
      <c r="D7" s="681"/>
      <c r="E7" s="681"/>
      <c r="F7" s="681"/>
      <c r="G7" s="681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684" t="s">
        <v>92</v>
      </c>
      <c r="B9" s="684"/>
      <c r="C9" s="684"/>
      <c r="D9" s="684"/>
      <c r="E9" s="684"/>
      <c r="F9" s="684"/>
      <c r="G9" s="684"/>
    </row>
    <row r="10" spans="1:20" ht="33.75" customHeight="1" x14ac:dyDescent="0.2">
      <c r="A10" s="682" t="s">
        <v>88</v>
      </c>
      <c r="B10" s="682"/>
      <c r="C10" s="682"/>
      <c r="D10" s="682"/>
      <c r="E10" s="682"/>
      <c r="F10" s="682"/>
      <c r="G10" s="682"/>
    </row>
    <row r="11" spans="1:20" ht="10.5" customHeight="1" x14ac:dyDescent="0.2">
      <c r="A11" s="231"/>
      <c r="B11" s="231"/>
      <c r="C11" s="231"/>
      <c r="D11" s="231"/>
      <c r="E11" s="231"/>
      <c r="F11" s="231"/>
      <c r="G11" s="231"/>
    </row>
    <row r="12" spans="1:20" ht="76.5" x14ac:dyDescent="0.2">
      <c r="A12" s="119" t="s">
        <v>23</v>
      </c>
      <c r="B12" s="232" t="s">
        <v>24</v>
      </c>
      <c r="C12" s="232" t="s">
        <v>90</v>
      </c>
      <c r="D12" s="120" t="s">
        <v>89</v>
      </c>
      <c r="E12" s="232" t="s">
        <v>25</v>
      </c>
      <c r="F12" s="232" t="s">
        <v>26</v>
      </c>
      <c r="G12" s="232" t="s">
        <v>27</v>
      </c>
    </row>
    <row r="13" spans="1:20" x14ac:dyDescent="0.2">
      <c r="A13" s="683" t="s">
        <v>28</v>
      </c>
      <c r="B13" s="683"/>
      <c r="C13" s="683"/>
      <c r="D13" s="683"/>
      <c r="E13" s="683"/>
      <c r="F13" s="683"/>
      <c r="G13" s="683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Т.с.!C51</f>
        <v>13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5">
        <f>F14</f>
        <v>13</v>
      </c>
      <c r="G16" s="126">
        <f>D16*F16</f>
        <v>6786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7803.9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7803.9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29342.663999999997</v>
      </c>
    </row>
    <row r="20" spans="1:8" x14ac:dyDescent="0.2">
      <c r="A20" s="683" t="s">
        <v>38</v>
      </c>
      <c r="B20" s="683"/>
      <c r="C20" s="683"/>
      <c r="D20" s="683"/>
      <c r="E20" s="683"/>
      <c r="F20" s="683"/>
      <c r="G20" s="683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13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5">
        <f>F21</f>
        <v>13</v>
      </c>
      <c r="G23" s="126">
        <f>D23*F23</f>
        <v>3848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4425.2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4425.2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16638.751999999997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683" t="s">
        <v>192</v>
      </c>
      <c r="B28" s="683"/>
      <c r="C28" s="683"/>
      <c r="D28" s="683"/>
      <c r="E28" s="683"/>
      <c r="F28" s="683"/>
      <c r="G28" s="683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5">
        <f>F14</f>
        <v>13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5">
        <f>F29</f>
        <v>13</v>
      </c>
      <c r="G31" s="126">
        <f>ROUND(D31*F31,2)</f>
        <v>2314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2661.1</v>
      </c>
    </row>
    <row r="33" spans="1:11" x14ac:dyDescent="0.2">
      <c r="A33" s="121"/>
      <c r="B33" s="128" t="s">
        <v>193</v>
      </c>
      <c r="C33" s="121"/>
      <c r="D33" s="122"/>
      <c r="E33" s="121"/>
      <c r="F33" s="125"/>
      <c r="G33" s="129">
        <f>G32</f>
        <v>2661.1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14890.199999999999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2680.2359999999999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17570.435999999998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60" customFormat="1" x14ac:dyDescent="0.2">
      <c r="B40" s="137"/>
      <c r="F40" s="101"/>
      <c r="G40" s="261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77"/>
      <c r="J54" s="678"/>
      <c r="K54" s="678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="90" zoomScaleNormal="100" zoomScaleSheetLayoutView="90" workbookViewId="0">
      <selection activeCell="E68" sqref="E68"/>
    </sheetView>
  </sheetViews>
  <sheetFormatPr defaultRowHeight="12.75" x14ac:dyDescent="0.2"/>
  <cols>
    <col min="1" max="1" width="9.28515625" style="262" bestFit="1" customWidth="1"/>
    <col min="2" max="2" width="34" style="262" customWidth="1"/>
    <col min="3" max="4" width="12.140625" style="262" customWidth="1"/>
    <col min="5" max="5" width="22.140625" style="262" customWidth="1"/>
    <col min="6" max="6" width="9.28515625" style="262" bestFit="1" customWidth="1"/>
    <col min="7" max="7" width="18.85546875" style="262" customWidth="1"/>
    <col min="8" max="8" width="12.85546875" style="262" customWidth="1"/>
    <col min="9" max="16384" width="9.140625" style="262"/>
  </cols>
  <sheetData>
    <row r="1" spans="1:13" x14ac:dyDescent="0.2">
      <c r="A1" s="422"/>
      <c r="B1" s="422"/>
      <c r="C1" s="422"/>
      <c r="D1" s="422"/>
      <c r="E1" s="422"/>
      <c r="F1" s="685"/>
      <c r="G1" s="685"/>
      <c r="H1" s="685"/>
    </row>
    <row r="2" spans="1:13" x14ac:dyDescent="0.2">
      <c r="A2" s="49"/>
      <c r="B2" s="49"/>
      <c r="C2" s="49"/>
      <c r="D2" s="423"/>
      <c r="E2" s="49"/>
      <c r="F2" s="685"/>
      <c r="G2" s="685"/>
      <c r="H2" s="685"/>
    </row>
    <row r="3" spans="1:13" x14ac:dyDescent="0.2">
      <c r="A3" s="49"/>
      <c r="B3" s="49"/>
      <c r="C3" s="49"/>
      <c r="D3" s="423"/>
      <c r="E3" s="49"/>
      <c r="F3" s="457"/>
      <c r="G3" s="424"/>
      <c r="H3" s="425"/>
    </row>
    <row r="4" spans="1:13" x14ac:dyDescent="0.2">
      <c r="A4" s="49"/>
      <c r="B4" s="49"/>
      <c r="C4" s="49"/>
      <c r="D4" s="423"/>
      <c r="E4" s="49"/>
      <c r="F4" s="457"/>
      <c r="G4" s="424"/>
      <c r="H4" s="425"/>
    </row>
    <row r="5" spans="1:13" ht="14.25" x14ac:dyDescent="0.2">
      <c r="A5" s="686" t="s">
        <v>99</v>
      </c>
      <c r="B5" s="686"/>
      <c r="C5" s="686"/>
      <c r="D5" s="686"/>
      <c r="E5" s="686"/>
      <c r="F5" s="686"/>
      <c r="G5" s="686"/>
      <c r="H5" s="686"/>
    </row>
    <row r="6" spans="1:13" ht="14.25" x14ac:dyDescent="0.2">
      <c r="A6" s="458"/>
      <c r="B6" s="458"/>
      <c r="C6" s="458"/>
      <c r="D6" s="458"/>
      <c r="E6" s="458"/>
      <c r="F6" s="458"/>
      <c r="G6" s="458"/>
      <c r="H6" s="458"/>
    </row>
    <row r="7" spans="1:13" ht="14.25" customHeight="1" x14ac:dyDescent="0.2">
      <c r="A7" s="695" t="s">
        <v>100</v>
      </c>
      <c r="B7" s="695"/>
      <c r="C7" s="695"/>
      <c r="D7" s="695"/>
      <c r="E7" s="695"/>
      <c r="F7" s="695"/>
      <c r="G7" s="695"/>
      <c r="H7" s="695"/>
    </row>
    <row r="8" spans="1:13" x14ac:dyDescent="0.2">
      <c r="A8" s="426"/>
      <c r="B8" s="426"/>
      <c r="C8" s="426"/>
      <c r="D8" s="426"/>
      <c r="E8" s="426"/>
      <c r="F8" s="426"/>
      <c r="G8" s="426"/>
      <c r="H8" s="426"/>
    </row>
    <row r="9" spans="1:13" ht="53.25" customHeight="1" x14ac:dyDescent="0.2">
      <c r="A9" s="696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9" s="696"/>
      <c r="C9" s="696"/>
      <c r="D9" s="696"/>
      <c r="E9" s="696"/>
      <c r="F9" s="696"/>
      <c r="G9" s="696"/>
      <c r="H9" s="696"/>
    </row>
    <row r="10" spans="1:13" x14ac:dyDescent="0.2">
      <c r="A10" s="424"/>
      <c r="B10" s="48"/>
      <c r="C10" s="48"/>
      <c r="D10" s="427"/>
      <c r="E10" s="48"/>
      <c r="F10" s="428"/>
      <c r="G10" s="48"/>
      <c r="H10" s="427"/>
    </row>
    <row r="11" spans="1:13" ht="48" customHeight="1" thickBot="1" x14ac:dyDescent="0.25">
      <c r="A11" s="697" t="s">
        <v>209</v>
      </c>
      <c r="B11" s="698"/>
      <c r="C11" s="698"/>
      <c r="D11" s="698"/>
      <c r="E11" s="698"/>
      <c r="F11" s="698"/>
      <c r="G11" s="698"/>
      <c r="H11" s="699"/>
    </row>
    <row r="12" spans="1:13" ht="26.25" thickBot="1" x14ac:dyDescent="0.25">
      <c r="A12" s="161" t="s">
        <v>49</v>
      </c>
      <c r="B12" s="700" t="s">
        <v>50</v>
      </c>
      <c r="C12" s="701"/>
      <c r="D12" s="162" t="s">
        <v>51</v>
      </c>
      <c r="E12" s="162" t="s">
        <v>263</v>
      </c>
      <c r="F12" s="163" t="s">
        <v>52</v>
      </c>
      <c r="G12" s="162" t="s">
        <v>0</v>
      </c>
      <c r="H12" s="164" t="s">
        <v>53</v>
      </c>
      <c r="J12" s="475"/>
      <c r="K12" s="475"/>
      <c r="L12" s="476" t="s">
        <v>279</v>
      </c>
      <c r="M12" s="476" t="s">
        <v>279</v>
      </c>
    </row>
    <row r="13" spans="1:13" ht="13.5" thickBot="1" x14ac:dyDescent="0.25">
      <c r="A13" s="429">
        <v>1</v>
      </c>
      <c r="B13" s="430">
        <v>2</v>
      </c>
      <c r="C13" s="430">
        <v>3</v>
      </c>
      <c r="D13" s="431">
        <v>4</v>
      </c>
      <c r="E13" s="430">
        <v>5</v>
      </c>
      <c r="F13" s="431">
        <v>6</v>
      </c>
      <c r="G13" s="430">
        <v>7</v>
      </c>
      <c r="H13" s="432">
        <v>8</v>
      </c>
      <c r="J13" s="436" t="s">
        <v>115</v>
      </c>
      <c r="K13" s="436" t="s">
        <v>264</v>
      </c>
      <c r="L13" s="477" t="s">
        <v>115</v>
      </c>
      <c r="M13" s="436" t="s">
        <v>264</v>
      </c>
    </row>
    <row r="14" spans="1:13" ht="38.25" x14ac:dyDescent="0.2">
      <c r="A14" s="61">
        <v>1</v>
      </c>
      <c r="B14" s="433" t="s">
        <v>101</v>
      </c>
      <c r="C14" s="434" t="s">
        <v>115</v>
      </c>
      <c r="D14" s="176">
        <v>820</v>
      </c>
      <c r="E14" s="170" t="s">
        <v>317</v>
      </c>
      <c r="F14" s="177">
        <v>1</v>
      </c>
      <c r="G14" s="177" t="str">
        <f>CONCATENATE(D14,"*",F14)</f>
        <v>820*1</v>
      </c>
      <c r="H14" s="165">
        <f>ROUND(D14*F14,2)</f>
        <v>820</v>
      </c>
      <c r="J14" s="437">
        <v>820</v>
      </c>
      <c r="K14" s="437">
        <v>482</v>
      </c>
      <c r="L14" s="476">
        <v>1229</v>
      </c>
      <c r="M14" s="476">
        <v>723</v>
      </c>
    </row>
    <row r="15" spans="1:13" ht="38.25" x14ac:dyDescent="0.2">
      <c r="A15" s="61">
        <v>2</v>
      </c>
      <c r="B15" s="433" t="s">
        <v>102</v>
      </c>
      <c r="C15" s="434" t="s">
        <v>115</v>
      </c>
      <c r="D15" s="176">
        <v>1326</v>
      </c>
      <c r="E15" s="170" t="s">
        <v>318</v>
      </c>
      <c r="F15" s="177">
        <v>1</v>
      </c>
      <c r="G15" s="177" t="str">
        <f>CONCATENATE(D15,"*",F15)</f>
        <v>1326*1</v>
      </c>
      <c r="H15" s="165">
        <f>ROUND(D15*F15,2)</f>
        <v>1326</v>
      </c>
      <c r="I15" s="435"/>
      <c r="J15" s="437">
        <v>1326</v>
      </c>
      <c r="K15" s="437">
        <v>780</v>
      </c>
      <c r="L15" s="476">
        <v>1724</v>
      </c>
      <c r="M15" s="476">
        <v>1013</v>
      </c>
    </row>
    <row r="16" spans="1:13" x14ac:dyDescent="0.2">
      <c r="A16" s="61"/>
      <c r="B16" s="438" t="s">
        <v>103</v>
      </c>
      <c r="C16" s="170"/>
      <c r="D16" s="166"/>
      <c r="E16" s="170"/>
      <c r="F16" s="439"/>
      <c r="G16" s="440"/>
      <c r="H16" s="60">
        <f>SUM(H14:H15)</f>
        <v>2146</v>
      </c>
      <c r="I16" s="435"/>
      <c r="J16" s="437"/>
      <c r="K16" s="437"/>
      <c r="L16" s="476"/>
      <c r="M16" s="476"/>
    </row>
    <row r="17" spans="1:13" ht="25.5" x14ac:dyDescent="0.2">
      <c r="A17" s="61">
        <v>3</v>
      </c>
      <c r="B17" s="433" t="s">
        <v>54</v>
      </c>
      <c r="C17" s="434" t="s">
        <v>115</v>
      </c>
      <c r="D17" s="176">
        <v>484</v>
      </c>
      <c r="E17" s="170" t="s">
        <v>212</v>
      </c>
      <c r="F17" s="177">
        <v>1</v>
      </c>
      <c r="G17" s="177" t="str">
        <f>CONCATENATE(D17,"*",F17)</f>
        <v>484*1</v>
      </c>
      <c r="H17" s="165">
        <f>ROUND(D17*F17,2)</f>
        <v>484</v>
      </c>
      <c r="I17" s="435"/>
      <c r="J17" s="437">
        <v>484</v>
      </c>
      <c r="K17" s="437">
        <v>484</v>
      </c>
      <c r="L17" s="476">
        <v>1211</v>
      </c>
      <c r="M17" s="476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213</v>
      </c>
      <c r="F18" s="169">
        <v>1</v>
      </c>
      <c r="G18" s="177" t="str">
        <f>CONCATENATE(D18,"*",F18)</f>
        <v>1214*1</v>
      </c>
      <c r="H18" s="165">
        <f>ROUND(D18*F18,2)</f>
        <v>1214</v>
      </c>
      <c r="I18" s="465"/>
      <c r="J18" s="477"/>
      <c r="K18" s="477"/>
      <c r="L18" s="475"/>
      <c r="M18" s="475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214</v>
      </c>
      <c r="F19" s="169">
        <v>1</v>
      </c>
      <c r="G19" s="177" t="str">
        <f>CONCATENATE(D19,"*",F19)</f>
        <v>318*1</v>
      </c>
      <c r="H19" s="165">
        <f>ROUND(D19*F19,2)</f>
        <v>318</v>
      </c>
      <c r="I19" s="465"/>
      <c r="J19" s="477"/>
      <c r="K19" s="477"/>
      <c r="L19" s="475"/>
      <c r="M19" s="475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215</v>
      </c>
      <c r="F20" s="169">
        <v>1</v>
      </c>
      <c r="G20" s="177" t="str">
        <f>CONCATENATE(D20,"*",F20)</f>
        <v>318*1</v>
      </c>
      <c r="H20" s="165">
        <f>ROUND(D20*F20,2)</f>
        <v>318</v>
      </c>
      <c r="I20" s="465"/>
      <c r="J20" s="477"/>
      <c r="K20" s="477"/>
      <c r="L20" s="475"/>
      <c r="M20" s="475"/>
    </row>
    <row r="21" spans="1:13" ht="63.75" x14ac:dyDescent="0.2">
      <c r="A21" s="459">
        <v>7</v>
      </c>
      <c r="B21" s="385" t="s">
        <v>216</v>
      </c>
      <c r="C21" s="172" t="s">
        <v>58</v>
      </c>
      <c r="D21" s="173">
        <v>122</v>
      </c>
      <c r="E21" s="461" t="s">
        <v>217</v>
      </c>
      <c r="F21" s="174">
        <f>Т.с.!C51/1000</f>
        <v>1.2999999999999999E-2</v>
      </c>
      <c r="G21" s="176">
        <f>D21</f>
        <v>122</v>
      </c>
      <c r="H21" s="8">
        <f>G21</f>
        <v>122</v>
      </c>
      <c r="I21" s="478" t="s">
        <v>265</v>
      </c>
      <c r="J21" s="479" t="s">
        <v>115</v>
      </c>
      <c r="K21" s="479" t="s">
        <v>264</v>
      </c>
      <c r="L21" s="475"/>
      <c r="M21" s="475"/>
    </row>
    <row r="22" spans="1:13" ht="25.5" x14ac:dyDescent="0.2">
      <c r="A22" s="459">
        <v>8</v>
      </c>
      <c r="B22" s="171" t="s">
        <v>104</v>
      </c>
      <c r="C22" s="434" t="s">
        <v>115</v>
      </c>
      <c r="D22" s="173">
        <v>1241</v>
      </c>
      <c r="E22" s="461" t="s">
        <v>218</v>
      </c>
      <c r="F22" s="175">
        <v>1</v>
      </c>
      <c r="G22" s="177" t="str">
        <f>CONCATENATE(D22,"*",F22)</f>
        <v>1241*1</v>
      </c>
      <c r="H22" s="8">
        <f>ROUND(D22*F22,2)</f>
        <v>1241</v>
      </c>
      <c r="I22" s="435"/>
      <c r="J22" s="437">
        <v>1241</v>
      </c>
      <c r="K22" s="437">
        <v>689</v>
      </c>
      <c r="L22" s="436"/>
      <c r="M22" s="436"/>
    </row>
    <row r="23" spans="1:13" ht="25.5" x14ac:dyDescent="0.2">
      <c r="A23" s="459">
        <v>9</v>
      </c>
      <c r="B23" s="386" t="s">
        <v>105</v>
      </c>
      <c r="C23" s="441" t="s">
        <v>219</v>
      </c>
      <c r="D23" s="387">
        <v>1027</v>
      </c>
      <c r="E23" s="388" t="s">
        <v>220</v>
      </c>
      <c r="F23" s="389">
        <v>1</v>
      </c>
      <c r="G23" s="462" t="str">
        <f>CONCATENATE(D23,"*",F23)</f>
        <v>1027*1</v>
      </c>
      <c r="H23" s="8">
        <f>ROUND(D23*F23,2)</f>
        <v>1027</v>
      </c>
      <c r="J23" s="475"/>
      <c r="K23" s="475"/>
      <c r="L23" s="475"/>
    </row>
    <row r="24" spans="1:13" x14ac:dyDescent="0.2">
      <c r="A24" s="390"/>
      <c r="B24" s="391" t="s">
        <v>221</v>
      </c>
      <c r="C24" s="393"/>
      <c r="D24" s="392"/>
      <c r="E24" s="393"/>
      <c r="F24" s="394"/>
      <c r="G24" s="442"/>
      <c r="H24" s="165"/>
      <c r="J24" s="475"/>
      <c r="K24" s="475"/>
      <c r="L24" s="475"/>
    </row>
    <row r="25" spans="1:13" ht="38.25" x14ac:dyDescent="0.2">
      <c r="A25" s="61">
        <v>10</v>
      </c>
      <c r="B25" s="171" t="s">
        <v>106</v>
      </c>
      <c r="C25" s="395" t="s">
        <v>222</v>
      </c>
      <c r="D25" s="173">
        <v>1222</v>
      </c>
      <c r="E25" s="461" t="s">
        <v>223</v>
      </c>
      <c r="F25" s="463">
        <v>1</v>
      </c>
      <c r="G25" s="463" t="str">
        <f>CONCATENATE(D25,"*",F25)</f>
        <v>1222*1</v>
      </c>
      <c r="H25" s="8">
        <f>ROUND(D25*F25,2)</f>
        <v>1222</v>
      </c>
      <c r="I25" s="466">
        <v>335</v>
      </c>
      <c r="J25" s="475"/>
      <c r="K25" s="475"/>
      <c r="L25" s="475"/>
    </row>
    <row r="26" spans="1:13" ht="38.25" x14ac:dyDescent="0.2">
      <c r="A26" s="61">
        <v>11</v>
      </c>
      <c r="B26" s="170" t="s">
        <v>200</v>
      </c>
      <c r="C26" s="63" t="s">
        <v>224</v>
      </c>
      <c r="D26" s="176">
        <v>335</v>
      </c>
      <c r="E26" s="170" t="s">
        <v>225</v>
      </c>
      <c r="F26" s="177"/>
      <c r="G26" s="177"/>
      <c r="H26" s="165"/>
    </row>
    <row r="27" spans="1:13" ht="25.5" x14ac:dyDescent="0.2">
      <c r="A27" s="383" t="s">
        <v>107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83" t="s">
        <v>121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84" t="s">
        <v>122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96" t="s">
        <v>108</v>
      </c>
      <c r="C30" s="62"/>
      <c r="D30" s="178"/>
      <c r="E30" s="62"/>
      <c r="F30" s="64"/>
      <c r="G30" s="397">
        <f>SUM(H27:H29)</f>
        <v>20100</v>
      </c>
      <c r="H30" s="60"/>
    </row>
    <row r="31" spans="1:13" ht="21.75" customHeight="1" x14ac:dyDescent="0.2">
      <c r="A31" s="61">
        <v>12</v>
      </c>
      <c r="B31" s="167" t="s">
        <v>198</v>
      </c>
      <c r="C31" s="399">
        <v>0.3</v>
      </c>
      <c r="D31" s="176"/>
      <c r="E31" s="170" t="s">
        <v>226</v>
      </c>
      <c r="F31" s="177"/>
      <c r="G31" s="400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109</v>
      </c>
      <c r="C32" s="399">
        <v>0.14000000000000001</v>
      </c>
      <c r="D32" s="176"/>
      <c r="E32" s="170" t="s">
        <v>227</v>
      </c>
      <c r="F32" s="177"/>
      <c r="G32" s="400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110</v>
      </c>
      <c r="C33" s="399">
        <v>0.14000000000000001</v>
      </c>
      <c r="D33" s="176"/>
      <c r="E33" s="170" t="s">
        <v>228</v>
      </c>
      <c r="F33" s="177"/>
      <c r="G33" s="400" t="str">
        <f>CONCATENATE(G30," * ",C33)</f>
        <v>20100 * 0,14</v>
      </c>
      <c r="H33" s="398">
        <f>ROUND(G30*C33,2)</f>
        <v>2814</v>
      </c>
    </row>
    <row r="34" spans="1:9" ht="38.25" hidden="1" x14ac:dyDescent="0.2">
      <c r="A34" s="61">
        <v>15</v>
      </c>
      <c r="B34" s="385" t="s">
        <v>111</v>
      </c>
      <c r="C34" s="463" t="s">
        <v>229</v>
      </c>
      <c r="D34" s="173">
        <v>653</v>
      </c>
      <c r="E34" s="461" t="s">
        <v>230</v>
      </c>
      <c r="F34" s="463">
        <v>0</v>
      </c>
      <c r="G34" s="463" t="str">
        <f>CONCATENATE(D34,"*",F34)</f>
        <v>653*0</v>
      </c>
      <c r="H34" s="443">
        <f>ROUND(D34*F34,2)</f>
        <v>0</v>
      </c>
    </row>
    <row r="35" spans="1:9" ht="38.25" x14ac:dyDescent="0.2">
      <c r="A35" s="61">
        <v>16</v>
      </c>
      <c r="B35" s="167" t="s">
        <v>231</v>
      </c>
      <c r="C35" s="177" t="s">
        <v>232</v>
      </c>
      <c r="D35" s="176">
        <v>932</v>
      </c>
      <c r="E35" s="170" t="s">
        <v>233</v>
      </c>
      <c r="F35" s="177">
        <v>1</v>
      </c>
      <c r="G35" s="177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9">
        <v>0.38</v>
      </c>
      <c r="D36" s="176"/>
      <c r="E36" s="170" t="s">
        <v>266</v>
      </c>
      <c r="F36" s="177"/>
      <c r="G36" s="400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112</v>
      </c>
      <c r="C37" s="177" t="s">
        <v>113</v>
      </c>
      <c r="D37" s="176">
        <v>212</v>
      </c>
      <c r="E37" s="170" t="s">
        <v>234</v>
      </c>
      <c r="F37" s="177">
        <v>4</v>
      </c>
      <c r="G37" s="177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401" t="s">
        <v>60</v>
      </c>
      <c r="C38" s="481" t="s">
        <v>113</v>
      </c>
      <c r="D38" s="403">
        <v>850</v>
      </c>
      <c r="E38" s="480" t="s">
        <v>235</v>
      </c>
      <c r="F38" s="481">
        <f>F37</f>
        <v>4</v>
      </c>
      <c r="G38" s="481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401" t="s">
        <v>236</v>
      </c>
      <c r="C39" s="402">
        <v>0.4</v>
      </c>
      <c r="D39" s="403"/>
      <c r="E39" s="480" t="s">
        <v>237</v>
      </c>
      <c r="F39" s="481"/>
      <c r="G39" s="482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405"/>
      <c r="B40" s="404" t="s">
        <v>238</v>
      </c>
      <c r="C40" s="407"/>
      <c r="D40" s="392"/>
      <c r="E40" s="393"/>
      <c r="F40" s="407"/>
      <c r="G40" s="420"/>
      <c r="I40" s="467"/>
    </row>
    <row r="41" spans="1:9" ht="51" x14ac:dyDescent="0.2">
      <c r="A41" s="61">
        <v>21</v>
      </c>
      <c r="B41" s="167" t="s">
        <v>239</v>
      </c>
      <c r="C41" s="177" t="s">
        <v>240</v>
      </c>
      <c r="D41" s="176">
        <v>729</v>
      </c>
      <c r="E41" s="170" t="s">
        <v>241</v>
      </c>
      <c r="F41" s="177">
        <v>1</v>
      </c>
      <c r="G41" s="177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401" t="s">
        <v>242</v>
      </c>
      <c r="C42" s="402">
        <v>0.25</v>
      </c>
      <c r="D42" s="403"/>
      <c r="E42" s="480" t="s">
        <v>243</v>
      </c>
      <c r="F42" s="481"/>
      <c r="G42" s="482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405"/>
      <c r="B43" s="404" t="s">
        <v>244</v>
      </c>
      <c r="C43" s="406"/>
      <c r="D43" s="392"/>
      <c r="E43" s="393"/>
      <c r="F43" s="407"/>
      <c r="G43" s="408"/>
      <c r="H43" s="165"/>
    </row>
    <row r="44" spans="1:9" x14ac:dyDescent="0.2">
      <c r="A44" s="409"/>
      <c r="B44" s="410" t="s">
        <v>71</v>
      </c>
      <c r="C44" s="411"/>
      <c r="D44" s="412"/>
      <c r="E44" s="413"/>
      <c r="F44" s="414"/>
      <c r="G44" s="415"/>
      <c r="H44" s="416"/>
    </row>
    <row r="45" spans="1:9" ht="25.5" x14ac:dyDescent="0.2">
      <c r="A45" s="687">
        <v>23</v>
      </c>
      <c r="B45" s="689" t="s">
        <v>245</v>
      </c>
      <c r="C45" s="691" t="s">
        <v>246</v>
      </c>
      <c r="D45" s="693">
        <v>410</v>
      </c>
      <c r="E45" s="460" t="s">
        <v>247</v>
      </c>
      <c r="F45" s="462">
        <v>1</v>
      </c>
      <c r="G45" s="462" t="str">
        <f>CONCATENATE(D45,"*",F45,"*",F46)</f>
        <v>410*1*1</v>
      </c>
      <c r="H45" s="416">
        <f>ROUND(D45*F45*F46,2)</f>
        <v>410</v>
      </c>
    </row>
    <row r="46" spans="1:9" x14ac:dyDescent="0.2">
      <c r="A46" s="688"/>
      <c r="B46" s="690"/>
      <c r="C46" s="692"/>
      <c r="D46" s="694"/>
      <c r="E46" s="461" t="s">
        <v>248</v>
      </c>
      <c r="F46" s="463">
        <v>1</v>
      </c>
      <c r="G46" s="463"/>
      <c r="H46" s="417"/>
    </row>
    <row r="47" spans="1:9" ht="25.5" x14ac:dyDescent="0.2">
      <c r="A47" s="61">
        <v>24</v>
      </c>
      <c r="B47" s="167" t="s">
        <v>250</v>
      </c>
      <c r="C47" s="462" t="s">
        <v>249</v>
      </c>
      <c r="D47" s="464">
        <v>410</v>
      </c>
      <c r="E47" s="460" t="s">
        <v>251</v>
      </c>
      <c r="F47" s="462">
        <v>1</v>
      </c>
      <c r="G47" s="177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252</v>
      </c>
      <c r="C48" s="462" t="s">
        <v>249</v>
      </c>
      <c r="D48" s="464">
        <v>1650</v>
      </c>
      <c r="E48" s="460" t="s">
        <v>253</v>
      </c>
      <c r="F48" s="462">
        <v>6</v>
      </c>
      <c r="G48" s="177" t="str">
        <f t="shared" si="1"/>
        <v>1650*6</v>
      </c>
      <c r="H48" s="165">
        <f t="shared" si="2"/>
        <v>9900</v>
      </c>
    </row>
    <row r="49" spans="1:8" ht="25.5" x14ac:dyDescent="0.2">
      <c r="A49" s="687">
        <v>26</v>
      </c>
      <c r="B49" s="689" t="s">
        <v>188</v>
      </c>
      <c r="C49" s="691" t="s">
        <v>246</v>
      </c>
      <c r="D49" s="693">
        <v>1648</v>
      </c>
      <c r="E49" s="460" t="s">
        <v>254</v>
      </c>
      <c r="F49" s="462">
        <v>1</v>
      </c>
      <c r="G49" s="462" t="str">
        <f>CONCATENATE(D49,"*",F49,"*",F50)</f>
        <v>1648*1*1</v>
      </c>
      <c r="H49" s="416">
        <f>ROUND(D49*F49*F50,2)</f>
        <v>1648</v>
      </c>
    </row>
    <row r="50" spans="1:8" x14ac:dyDescent="0.2">
      <c r="A50" s="688"/>
      <c r="B50" s="690"/>
      <c r="C50" s="692"/>
      <c r="D50" s="694"/>
      <c r="E50" s="461" t="s">
        <v>248</v>
      </c>
      <c r="F50" s="463">
        <f>F46</f>
        <v>1</v>
      </c>
      <c r="G50" s="463"/>
      <c r="H50" s="418"/>
    </row>
    <row r="51" spans="1:8" ht="25.5" x14ac:dyDescent="0.2">
      <c r="A51" s="687">
        <v>27</v>
      </c>
      <c r="B51" s="689" t="s">
        <v>255</v>
      </c>
      <c r="C51" s="691" t="s">
        <v>246</v>
      </c>
      <c r="D51" s="693">
        <v>1757</v>
      </c>
      <c r="E51" s="460" t="s">
        <v>256</v>
      </c>
      <c r="F51" s="462">
        <v>1</v>
      </c>
      <c r="G51" s="462" t="str">
        <f>CONCATENATE(D51,"*",F51,"*",F52)</f>
        <v>1757*1*1</v>
      </c>
      <c r="H51" s="416">
        <f>ROUND(D51*F51*F52,2)</f>
        <v>1757</v>
      </c>
    </row>
    <row r="52" spans="1:8" x14ac:dyDescent="0.2">
      <c r="A52" s="688"/>
      <c r="B52" s="690"/>
      <c r="C52" s="692"/>
      <c r="D52" s="694"/>
      <c r="E52" s="461" t="s">
        <v>248</v>
      </c>
      <c r="F52" s="463">
        <f>F46</f>
        <v>1</v>
      </c>
      <c r="G52" s="463"/>
      <c r="H52" s="418"/>
    </row>
    <row r="53" spans="1:8" ht="25.5" x14ac:dyDescent="0.2">
      <c r="A53" s="687">
        <v>28</v>
      </c>
      <c r="B53" s="689" t="s">
        <v>189</v>
      </c>
      <c r="C53" s="691" t="s">
        <v>246</v>
      </c>
      <c r="D53" s="693">
        <v>439</v>
      </c>
      <c r="E53" s="460" t="s">
        <v>257</v>
      </c>
      <c r="F53" s="462">
        <v>1</v>
      </c>
      <c r="G53" s="462" t="str">
        <f>CONCATENATE(D53,"*",F53,"*",F54)</f>
        <v>439*1*1</v>
      </c>
      <c r="H53" s="416">
        <f>ROUND(D53*F53*F54,2)</f>
        <v>439</v>
      </c>
    </row>
    <row r="54" spans="1:8" x14ac:dyDescent="0.2">
      <c r="A54" s="688"/>
      <c r="B54" s="690"/>
      <c r="C54" s="692"/>
      <c r="D54" s="694"/>
      <c r="E54" s="461" t="s">
        <v>248</v>
      </c>
      <c r="F54" s="463">
        <f>F46</f>
        <v>1</v>
      </c>
      <c r="G54" s="463"/>
    </row>
    <row r="55" spans="1:8" x14ac:dyDescent="0.2">
      <c r="A55" s="61"/>
      <c r="B55" s="340" t="s">
        <v>258</v>
      </c>
      <c r="C55" s="170"/>
      <c r="D55" s="176"/>
      <c r="E55" s="170"/>
      <c r="F55" s="177"/>
      <c r="G55" s="421"/>
      <c r="H55" s="60">
        <f>SUM(H17:H54)</f>
        <v>60412.61</v>
      </c>
    </row>
    <row r="56" spans="1:8" x14ac:dyDescent="0.2">
      <c r="A56" s="61"/>
      <c r="B56" s="170" t="s">
        <v>61</v>
      </c>
      <c r="C56" s="444">
        <v>9.7000000000000003E-3</v>
      </c>
      <c r="D56" s="445"/>
      <c r="E56" s="170" t="s">
        <v>259</v>
      </c>
      <c r="F56" s="177"/>
      <c r="G56" s="446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40" t="s">
        <v>114</v>
      </c>
      <c r="C57" s="170"/>
      <c r="D57" s="176"/>
      <c r="E57" s="170"/>
      <c r="F57" s="177"/>
      <c r="G57" s="177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44">
        <v>1.11E-2</v>
      </c>
      <c r="D58" s="445"/>
      <c r="E58" s="170" t="s">
        <v>260</v>
      </c>
      <c r="F58" s="446"/>
      <c r="G58" s="446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261</v>
      </c>
      <c r="C59" s="444">
        <v>2.5700000000000001E-2</v>
      </c>
      <c r="D59" s="445"/>
      <c r="E59" s="170" t="s">
        <v>262</v>
      </c>
      <c r="F59" s="446">
        <v>5</v>
      </c>
      <c r="G59" s="446" t="str">
        <f>CONCATENATE(H57,"*",C59,)</f>
        <v>60998,61*0,0257</v>
      </c>
      <c r="H59" s="8">
        <f>ROUND(H57*C59,2)</f>
        <v>1567.66</v>
      </c>
    </row>
    <row r="60" spans="1:8" ht="36" x14ac:dyDescent="0.2">
      <c r="A60" s="459"/>
      <c r="B60" s="388"/>
      <c r="C60" s="447">
        <v>0.15</v>
      </c>
      <c r="D60" s="448"/>
      <c r="E60" s="449" t="s">
        <v>199</v>
      </c>
      <c r="F60" s="450"/>
      <c r="G60" s="451" t="str">
        <f>CONCATENATE(H59,"*",C60)</f>
        <v>1567,66*0,15</v>
      </c>
      <c r="H60" s="279">
        <f>ROUND(H59*0.15,2)</f>
        <v>235.15</v>
      </c>
    </row>
    <row r="61" spans="1:8" ht="39" thickBot="1" x14ac:dyDescent="0.25">
      <c r="A61" s="452"/>
      <c r="B61" s="453" t="s">
        <v>63</v>
      </c>
      <c r="C61" s="453"/>
      <c r="D61" s="454"/>
      <c r="E61" s="453"/>
      <c r="F61" s="455"/>
      <c r="G61" s="455" t="str">
        <f>CONCATENATE(H57," + ",H58,"+",H59," + ",H16,"+",H60)</f>
        <v>60998,61 + 677,08+1567,66 + 2146+235,15</v>
      </c>
      <c r="H61" s="419">
        <f>ROUND(H57+H58+H59+H60+H16,2)</f>
        <v>65624.5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F34" sqref="F34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12"/>
      <c r="G4" s="712"/>
      <c r="H4" s="712"/>
    </row>
    <row r="5" spans="1:11" x14ac:dyDescent="0.2">
      <c r="D5" s="72"/>
      <c r="F5" s="233"/>
      <c r="G5" s="234"/>
      <c r="H5" s="73"/>
    </row>
    <row r="6" spans="1:11" x14ac:dyDescent="0.2">
      <c r="D6" s="72"/>
      <c r="F6" s="233"/>
      <c r="G6" s="234"/>
      <c r="H6" s="73"/>
    </row>
    <row r="7" spans="1:11" ht="14.25" x14ac:dyDescent="0.2">
      <c r="A7" s="679" t="s">
        <v>187</v>
      </c>
      <c r="B7" s="679"/>
      <c r="C7" s="679"/>
      <c r="D7" s="679"/>
      <c r="E7" s="679"/>
      <c r="F7" s="679"/>
      <c r="G7" s="679"/>
      <c r="H7" s="679"/>
    </row>
    <row r="8" spans="1:11" x14ac:dyDescent="0.2">
      <c r="A8" s="243"/>
      <c r="B8" s="243"/>
      <c r="C8" s="243"/>
      <c r="D8" s="243"/>
      <c r="E8" s="243"/>
      <c r="F8" s="243"/>
      <c r="G8" s="243"/>
      <c r="H8" s="243"/>
    </row>
    <row r="9" spans="1:11" ht="60.75" customHeight="1" x14ac:dyDescent="0.2">
      <c r="A9" s="713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9" s="714"/>
      <c r="C9" s="714"/>
      <c r="D9" s="714"/>
      <c r="E9" s="714"/>
      <c r="F9" s="714"/>
      <c r="G9" s="714"/>
      <c r="H9" s="714"/>
      <c r="J9" s="74" t="s">
        <v>125</v>
      </c>
      <c r="K9" s="74" t="s">
        <v>126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15" t="s">
        <v>93</v>
      </c>
      <c r="B11" s="715"/>
      <c r="C11" s="715"/>
      <c r="D11" s="715"/>
      <c r="E11" s="715"/>
      <c r="F11" s="715"/>
      <c r="G11" s="715"/>
      <c r="H11" s="715"/>
      <c r="J11" s="74" t="s">
        <v>127</v>
      </c>
      <c r="K11" s="74">
        <v>2500</v>
      </c>
    </row>
    <row r="12" spans="1:11" x14ac:dyDescent="0.2">
      <c r="A12" s="243"/>
      <c r="B12" s="243"/>
      <c r="C12" s="243"/>
      <c r="D12" s="243"/>
      <c r="E12" s="243"/>
      <c r="F12" s="243"/>
      <c r="G12" s="243"/>
      <c r="H12" s="243"/>
      <c r="J12" s="74" t="s">
        <v>128</v>
      </c>
      <c r="K12" s="74">
        <v>4500</v>
      </c>
    </row>
    <row r="13" spans="1:11" x14ac:dyDescent="0.2">
      <c r="A13" s="708" t="s">
        <v>76</v>
      </c>
      <c r="B13" s="708"/>
      <c r="C13" s="708"/>
      <c r="D13" s="708"/>
      <c r="E13" s="708"/>
      <c r="F13" s="708"/>
      <c r="G13" s="708"/>
      <c r="H13" s="708"/>
      <c r="J13" s="74" t="s">
        <v>129</v>
      </c>
      <c r="K13" s="74">
        <v>8000</v>
      </c>
    </row>
    <row r="14" spans="1:11" x14ac:dyDescent="0.2">
      <c r="A14" s="708" t="s">
        <v>141</v>
      </c>
      <c r="B14" s="708"/>
      <c r="C14" s="708"/>
      <c r="D14" s="708"/>
      <c r="E14" s="708"/>
      <c r="F14" s="708"/>
      <c r="G14" s="708"/>
      <c r="H14" s="708"/>
      <c r="J14" s="74" t="s">
        <v>130</v>
      </c>
      <c r="K14" s="74">
        <v>16500</v>
      </c>
    </row>
    <row r="15" spans="1:11" x14ac:dyDescent="0.2">
      <c r="A15" s="708" t="s">
        <v>77</v>
      </c>
      <c r="B15" s="708"/>
      <c r="C15" s="708"/>
      <c r="D15" s="708"/>
      <c r="E15" s="708"/>
      <c r="F15" s="708"/>
      <c r="G15" s="708"/>
      <c r="H15" s="708"/>
      <c r="J15" s="74" t="s">
        <v>131</v>
      </c>
      <c r="K15" s="74">
        <v>23000</v>
      </c>
    </row>
    <row r="16" spans="1:11" x14ac:dyDescent="0.2">
      <c r="A16" s="708" t="s">
        <v>205</v>
      </c>
      <c r="B16" s="708"/>
      <c r="C16" s="708"/>
      <c r="D16" s="708"/>
      <c r="E16" s="708"/>
      <c r="F16" s="708"/>
      <c r="G16" s="708"/>
      <c r="H16" s="708"/>
      <c r="J16" s="74" t="s">
        <v>132</v>
      </c>
      <c r="K16" s="74">
        <v>34000</v>
      </c>
    </row>
    <row r="17" spans="1:11" x14ac:dyDescent="0.2">
      <c r="A17" s="234"/>
      <c r="B17" s="234"/>
      <c r="C17" s="234"/>
      <c r="D17" s="234"/>
      <c r="E17" s="234"/>
      <c r="F17" s="234"/>
      <c r="G17" s="234"/>
      <c r="H17" s="234"/>
      <c r="J17" s="74" t="s">
        <v>133</v>
      </c>
      <c r="K17" s="74">
        <v>42000</v>
      </c>
    </row>
    <row r="18" spans="1:11" ht="25.5" x14ac:dyDescent="0.2">
      <c r="A18" s="181" t="s">
        <v>17</v>
      </c>
      <c r="B18" s="709" t="s">
        <v>3</v>
      </c>
      <c r="C18" s="709"/>
      <c r="D18" s="182" t="s">
        <v>9</v>
      </c>
      <c r="E18" s="235" t="s">
        <v>4</v>
      </c>
      <c r="F18" s="183" t="s">
        <v>5</v>
      </c>
      <c r="G18" s="235" t="s">
        <v>0</v>
      </c>
      <c r="H18" s="184" t="s">
        <v>6</v>
      </c>
      <c r="J18" s="74" t="s">
        <v>135</v>
      </c>
      <c r="K18" s="74">
        <v>55120</v>
      </c>
    </row>
    <row r="19" spans="1:11" ht="60.75" customHeight="1" x14ac:dyDescent="0.2">
      <c r="A19" s="185"/>
      <c r="B19" s="710" t="s">
        <v>134</v>
      </c>
      <c r="C19" s="710"/>
      <c r="D19" s="186">
        <f>Т.с.!H39</f>
        <v>94927.75</v>
      </c>
      <c r="E19" s="187"/>
      <c r="F19" s="188"/>
      <c r="G19" s="47" t="str">
        <f>CONCATENATE(D19,"*",0.4)</f>
        <v>94927,75*0,4</v>
      </c>
      <c r="H19" s="189">
        <f>ROUND(D19*0.4,2)</f>
        <v>37971.1</v>
      </c>
    </row>
    <row r="20" spans="1:11" ht="69" customHeight="1" x14ac:dyDescent="0.2">
      <c r="A20" s="190"/>
      <c r="B20" s="711" t="s">
        <v>207</v>
      </c>
      <c r="C20" s="711"/>
      <c r="D20" s="191">
        <f>K11</f>
        <v>2500</v>
      </c>
      <c r="E20" s="278" t="s">
        <v>206</v>
      </c>
      <c r="F20" s="193">
        <v>1</v>
      </c>
      <c r="G20" s="194" t="str">
        <f>CONCATENATE(D20,"*",F20)</f>
        <v>2500*1</v>
      </c>
      <c r="H20" s="195">
        <f>ROUND(D20*F20,2)</f>
        <v>2500</v>
      </c>
    </row>
    <row r="21" spans="1:11" ht="33.75" customHeight="1" x14ac:dyDescent="0.2">
      <c r="A21" s="190"/>
      <c r="B21" s="711" t="s">
        <v>41</v>
      </c>
      <c r="C21" s="711"/>
      <c r="D21" s="191"/>
      <c r="E21" s="192"/>
      <c r="F21" s="193"/>
      <c r="G21" s="194"/>
      <c r="H21" s="195">
        <f>H20</f>
        <v>2500</v>
      </c>
    </row>
    <row r="22" spans="1:11" x14ac:dyDescent="0.2">
      <c r="A22" s="234"/>
      <c r="B22" s="234"/>
      <c r="C22" s="234"/>
      <c r="D22" s="234"/>
      <c r="E22" s="234"/>
      <c r="F22" s="234"/>
      <c r="G22" s="234"/>
      <c r="H22" s="234"/>
    </row>
    <row r="23" spans="1:11" ht="115.5" hidden="1" thickBot="1" x14ac:dyDescent="0.25">
      <c r="A23" s="76"/>
      <c r="B23" s="702" t="s">
        <v>78</v>
      </c>
      <c r="C23" s="703"/>
      <c r="D23" s="704"/>
      <c r="E23" s="77" t="s">
        <v>142</v>
      </c>
      <c r="F23" s="78">
        <v>3.351</v>
      </c>
      <c r="G23" s="79" t="s">
        <v>81</v>
      </c>
      <c r="H23" s="80">
        <v>96508.800000000003</v>
      </c>
      <c r="J23" s="74" t="s">
        <v>136</v>
      </c>
      <c r="K23" s="74" t="s">
        <v>136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137</v>
      </c>
      <c r="K24" s="74" t="s">
        <v>137</v>
      </c>
    </row>
    <row r="25" spans="1:11" s="49" customFormat="1" ht="115.5" hidden="1" thickBot="1" x14ac:dyDescent="0.25">
      <c r="A25" s="85"/>
      <c r="B25" s="705" t="s">
        <v>65</v>
      </c>
      <c r="C25" s="706"/>
      <c r="D25" s="707"/>
      <c r="E25" s="86" t="s">
        <v>143</v>
      </c>
      <c r="F25" s="87">
        <v>1</v>
      </c>
      <c r="G25" s="88" t="s">
        <v>82</v>
      </c>
      <c r="H25" s="89">
        <v>96508.800000000003</v>
      </c>
      <c r="I25" s="90"/>
      <c r="J25" s="74" t="s">
        <v>138</v>
      </c>
      <c r="K25" s="74" t="s">
        <v>138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139</v>
      </c>
      <c r="K26" s="74" t="s">
        <v>139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140</v>
      </c>
      <c r="K27" s="74" t="s">
        <v>140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35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1" sqref="B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91"/>
      <c r="G1" s="492"/>
      <c r="H1" s="493"/>
    </row>
    <row r="2" spans="1:9" x14ac:dyDescent="0.25">
      <c r="C2" s="491"/>
      <c r="G2" s="492"/>
      <c r="H2" s="494"/>
    </row>
    <row r="3" spans="1:9" ht="15.75" x14ac:dyDescent="0.25">
      <c r="C3" s="491"/>
      <c r="G3" s="495"/>
      <c r="H3" s="494"/>
    </row>
    <row r="4" spans="1:9" s="497" customFormat="1" ht="14.25" x14ac:dyDescent="0.2">
      <c r="A4" s="496"/>
      <c r="B4" s="496"/>
      <c r="C4" s="496"/>
      <c r="D4" s="496"/>
      <c r="E4" s="496"/>
      <c r="F4" s="496"/>
      <c r="G4" s="496"/>
      <c r="H4" s="496"/>
    </row>
    <row r="5" spans="1:9" x14ac:dyDescent="0.2">
      <c r="D5" s="498"/>
      <c r="F5" s="499"/>
      <c r="G5" s="500"/>
    </row>
    <row r="6" spans="1:9" x14ac:dyDescent="0.2">
      <c r="A6" s="730" t="s">
        <v>283</v>
      </c>
      <c r="B6" s="730"/>
      <c r="C6" s="730"/>
      <c r="D6" s="730"/>
      <c r="E6" s="730"/>
      <c r="F6" s="730"/>
      <c r="G6" s="730"/>
      <c r="H6" s="730"/>
    </row>
    <row r="7" spans="1:9" ht="48" customHeight="1" x14ac:dyDescent="0.2">
      <c r="A7" s="649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7" s="649"/>
      <c r="C7" s="649"/>
      <c r="D7" s="649"/>
      <c r="E7" s="649"/>
      <c r="F7" s="649"/>
      <c r="G7" s="649"/>
      <c r="H7" s="649"/>
    </row>
    <row r="8" spans="1:9" ht="15.75" x14ac:dyDescent="0.2">
      <c r="A8" s="731"/>
      <c r="B8" s="731"/>
      <c r="C8" s="731"/>
      <c r="D8" s="731"/>
      <c r="E8" s="731"/>
      <c r="F8" s="731"/>
      <c r="G8" s="731"/>
      <c r="H8" s="731"/>
    </row>
    <row r="9" spans="1:9" ht="15.75" x14ac:dyDescent="0.2">
      <c r="A9" s="731" t="s">
        <v>284</v>
      </c>
      <c r="B9" s="731"/>
      <c r="C9" s="731"/>
      <c r="D9" s="731"/>
      <c r="E9" s="731"/>
      <c r="F9" s="731"/>
      <c r="G9" s="731"/>
      <c r="H9" s="731"/>
    </row>
    <row r="10" spans="1:9" x14ac:dyDescent="0.2">
      <c r="A10" s="732" t="s">
        <v>285</v>
      </c>
      <c r="B10" s="732"/>
      <c r="C10" s="732"/>
      <c r="D10" s="732"/>
      <c r="E10" s="732"/>
      <c r="F10" s="732"/>
      <c r="G10" s="732"/>
      <c r="H10" s="732"/>
    </row>
    <row r="11" spans="1:9" x14ac:dyDescent="0.2">
      <c r="A11" s="730" t="s">
        <v>286</v>
      </c>
      <c r="B11" s="730"/>
      <c r="C11" s="730"/>
      <c r="D11" s="730"/>
      <c r="E11" s="730"/>
      <c r="F11" s="730"/>
      <c r="G11" s="730"/>
      <c r="H11" s="730"/>
    </row>
    <row r="12" spans="1:9" ht="15.75" thickBot="1" x14ac:dyDescent="0.25">
      <c r="B12" s="501"/>
      <c r="C12" s="501"/>
      <c r="D12" s="1"/>
      <c r="I12" s="502"/>
    </row>
    <row r="13" spans="1:9" x14ac:dyDescent="0.2">
      <c r="A13" s="721">
        <v>1</v>
      </c>
      <c r="B13" s="724" t="s">
        <v>287</v>
      </c>
      <c r="C13" s="717">
        <v>1</v>
      </c>
      <c r="D13" s="726">
        <f>ROUND(C15+C13*C16,2)</f>
        <v>86460</v>
      </c>
      <c r="E13" s="728" t="s">
        <v>288</v>
      </c>
      <c r="F13" s="717">
        <v>1.2</v>
      </c>
      <c r="G13" s="717" t="str">
        <f>CONCATENATE(D13," х ",F13," х ",F15)</f>
        <v>86460 х 1,2 х 0,3</v>
      </c>
      <c r="H13" s="719">
        <f>ROUND(D13*F13*F15,2)</f>
        <v>31125.599999999999</v>
      </c>
    </row>
    <row r="14" spans="1:9" x14ac:dyDescent="0.2">
      <c r="A14" s="722"/>
      <c r="B14" s="725"/>
      <c r="C14" s="718"/>
      <c r="D14" s="727"/>
      <c r="E14" s="729"/>
      <c r="F14" s="718"/>
      <c r="G14" s="718"/>
      <c r="H14" s="720"/>
    </row>
    <row r="15" spans="1:9" ht="75" x14ac:dyDescent="0.2">
      <c r="A15" s="722"/>
      <c r="B15" s="503" t="s">
        <v>289</v>
      </c>
      <c r="C15" s="504">
        <v>86460</v>
      </c>
      <c r="D15" s="505"/>
      <c r="E15" s="506" t="s">
        <v>290</v>
      </c>
      <c r="F15" s="507">
        <v>0.3</v>
      </c>
      <c r="G15" s="508"/>
      <c r="H15" s="509"/>
    </row>
    <row r="16" spans="1:9" ht="15.75" thickBot="1" x14ac:dyDescent="0.25">
      <c r="A16" s="723"/>
      <c r="B16" s="510" t="s">
        <v>12</v>
      </c>
      <c r="C16" s="511"/>
      <c r="D16" s="511"/>
      <c r="E16" s="512"/>
      <c r="F16" s="513"/>
      <c r="G16" s="514"/>
      <c r="H16" s="515"/>
    </row>
    <row r="17" spans="1:9" x14ac:dyDescent="0.2">
      <c r="A17" s="721">
        <v>2</v>
      </c>
      <c r="B17" s="724" t="s">
        <v>291</v>
      </c>
      <c r="C17" s="717">
        <v>1</v>
      </c>
      <c r="D17" s="726">
        <f>ROUND(C19+C17*C20,2)</f>
        <v>30603</v>
      </c>
      <c r="E17" s="728" t="s">
        <v>288</v>
      </c>
      <c r="F17" s="717">
        <v>1.2</v>
      </c>
      <c r="G17" s="717" t="str">
        <f>CONCATENATE(D17," х ",F17)</f>
        <v>30603 х 1,2</v>
      </c>
      <c r="H17" s="719">
        <f>ROUND(D17*F17,2)</f>
        <v>36723.599999999999</v>
      </c>
    </row>
    <row r="18" spans="1:9" x14ac:dyDescent="0.2">
      <c r="A18" s="722"/>
      <c r="B18" s="725"/>
      <c r="C18" s="718"/>
      <c r="D18" s="727"/>
      <c r="E18" s="729"/>
      <c r="F18" s="718"/>
      <c r="G18" s="718"/>
      <c r="H18" s="720"/>
    </row>
    <row r="19" spans="1:9" ht="30" x14ac:dyDescent="0.2">
      <c r="A19" s="722"/>
      <c r="B19" s="503" t="s">
        <v>292</v>
      </c>
      <c r="C19" s="504">
        <v>25980</v>
      </c>
      <c r="D19" s="505"/>
      <c r="E19" s="506"/>
      <c r="F19" s="507"/>
      <c r="G19" s="508"/>
      <c r="H19" s="509"/>
    </row>
    <row r="20" spans="1:9" ht="15.75" thickBot="1" x14ac:dyDescent="0.25">
      <c r="A20" s="723"/>
      <c r="B20" s="510" t="s">
        <v>12</v>
      </c>
      <c r="C20" s="516">
        <v>4623</v>
      </c>
      <c r="D20" s="511"/>
      <c r="E20" s="512"/>
      <c r="F20" s="513"/>
      <c r="G20" s="514"/>
      <c r="H20" s="515"/>
    </row>
    <row r="21" spans="1:9" ht="15.75" thickBot="1" x14ac:dyDescent="0.25">
      <c r="A21" s="517"/>
      <c r="B21" s="518" t="s">
        <v>293</v>
      </c>
      <c r="C21" s="519"/>
      <c r="D21" s="519"/>
      <c r="E21" s="519"/>
      <c r="F21" s="519"/>
      <c r="G21" s="519"/>
      <c r="H21" s="520">
        <f>ROUND(H13+H17,2)</f>
        <v>67849.2</v>
      </c>
      <c r="I21" s="1"/>
    </row>
    <row r="22" spans="1:9" ht="30.75" hidden="1" thickBot="1" x14ac:dyDescent="0.25">
      <c r="A22" s="521"/>
      <c r="B22" s="716" t="s">
        <v>294</v>
      </c>
      <c r="C22" s="716"/>
      <c r="D22" s="716"/>
      <c r="E22" s="522" t="s">
        <v>295</v>
      </c>
      <c r="F22" s="523">
        <v>1</v>
      </c>
      <c r="G22" s="524" t="str">
        <f>CONCATENATE(H21," х ",F22)</f>
        <v>67849,2 х 1</v>
      </c>
      <c r="H22" s="525">
        <f>ROUND(H21*F22,2)</f>
        <v>67849.2</v>
      </c>
    </row>
    <row r="23" spans="1:9" ht="15.75" thickBot="1" x14ac:dyDescent="0.25">
      <c r="A23" s="521"/>
      <c r="B23" s="716" t="s">
        <v>296</v>
      </c>
      <c r="C23" s="716"/>
      <c r="D23" s="716"/>
      <c r="E23" s="526" t="s">
        <v>297</v>
      </c>
      <c r="F23" s="526">
        <v>1.19</v>
      </c>
      <c r="G23" s="527" t="str">
        <f>CONCATENATE(H22," / ",F23)</f>
        <v>67849,2 / 1,19</v>
      </c>
      <c r="H23" s="520">
        <f>ROUND(H22/F23,2)</f>
        <v>57016.13</v>
      </c>
    </row>
    <row r="24" spans="1:9" x14ac:dyDescent="0.2">
      <c r="A24" s="528"/>
      <c r="B24" s="529"/>
      <c r="C24" s="529"/>
      <c r="D24" s="529"/>
      <c r="E24" s="530"/>
      <c r="F24" s="531"/>
      <c r="G24" s="532"/>
      <c r="H24" s="533"/>
    </row>
    <row r="25" spans="1:9" x14ac:dyDescent="0.2">
      <c r="A25" s="528"/>
      <c r="B25" s="529"/>
      <c r="C25" s="529"/>
      <c r="D25" s="529"/>
      <c r="E25" s="530"/>
      <c r="F25" s="531"/>
      <c r="G25" s="532"/>
      <c r="H25" s="533"/>
    </row>
    <row r="27" spans="1:9" x14ac:dyDescent="0.2">
      <c r="F27" s="536"/>
    </row>
    <row r="28" spans="1:9" x14ac:dyDescent="0.2">
      <c r="F28" s="536"/>
    </row>
    <row r="29" spans="1:9" x14ac:dyDescent="0.2">
      <c r="F29" s="536"/>
    </row>
    <row r="30" spans="1:9" x14ac:dyDescent="0.2">
      <c r="F30" s="536"/>
    </row>
    <row r="31" spans="1:9" x14ac:dyDescent="0.2">
      <c r="F31" s="536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F28" sqref="F28"/>
    </sheetView>
  </sheetViews>
  <sheetFormatPr defaultRowHeight="12.75" x14ac:dyDescent="0.2"/>
  <cols>
    <col min="1" max="1" width="4.140625" style="203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6" customWidth="1"/>
    <col min="11" max="11" width="11" style="51" customWidth="1"/>
    <col min="12" max="12" width="11" style="206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5" t="s">
        <v>178</v>
      </c>
    </row>
    <row r="2" spans="1:250" s="52" customFormat="1" ht="19.5" customHeight="1" x14ac:dyDescent="0.2">
      <c r="A2" s="100"/>
      <c r="B2" s="100"/>
      <c r="C2" s="100"/>
      <c r="D2" s="100"/>
      <c r="J2" s="577"/>
      <c r="N2" s="244"/>
      <c r="O2" s="244"/>
    </row>
    <row r="3" spans="1:250" s="52" customFormat="1" ht="19.5" hidden="1" customHeight="1" x14ac:dyDescent="0.2">
      <c r="A3" s="100"/>
      <c r="B3" s="100"/>
      <c r="C3" s="100"/>
      <c r="D3" s="100"/>
      <c r="E3" s="233"/>
      <c r="G3" s="233"/>
      <c r="H3" s="51"/>
      <c r="I3" s="207" t="s">
        <v>178</v>
      </c>
      <c r="J3" s="206"/>
      <c r="K3" s="51"/>
      <c r="L3" s="206"/>
      <c r="M3" s="51"/>
      <c r="N3" s="244"/>
      <c r="O3" s="244"/>
    </row>
    <row r="4" spans="1:250" s="52" customFormat="1" ht="19.5" hidden="1" customHeight="1" x14ac:dyDescent="0.2">
      <c r="A4" s="100"/>
      <c r="B4" s="100"/>
      <c r="C4" s="100"/>
      <c r="D4" s="100"/>
      <c r="E4" s="233"/>
      <c r="G4" s="233"/>
      <c r="H4" s="160"/>
      <c r="I4" s="252" t="s">
        <v>179</v>
      </c>
      <c r="J4" s="578"/>
      <c r="K4" s="253"/>
      <c r="L4" s="254"/>
      <c r="M4" s="246" t="s">
        <v>180</v>
      </c>
      <c r="N4" s="244"/>
      <c r="O4" s="244"/>
    </row>
    <row r="5" spans="1:250" s="52" customFormat="1" ht="19.5" customHeight="1" x14ac:dyDescent="0.2">
      <c r="D5" s="72"/>
      <c r="H5" s="160"/>
      <c r="I5" s="247" t="s">
        <v>181</v>
      </c>
      <c r="J5" s="248" t="s">
        <v>182</v>
      </c>
      <c r="K5" s="247" t="s">
        <v>183</v>
      </c>
      <c r="L5" s="248" t="s">
        <v>184</v>
      </c>
      <c r="M5" s="249"/>
      <c r="N5" s="244"/>
      <c r="O5" s="244"/>
    </row>
    <row r="6" spans="1:250" s="52" customFormat="1" ht="19.5" customHeight="1" x14ac:dyDescent="0.2">
      <c r="D6" s="72"/>
      <c r="E6" s="233"/>
      <c r="G6" s="234"/>
      <c r="H6" s="208" t="s">
        <v>185</v>
      </c>
      <c r="I6" s="204">
        <v>0.01</v>
      </c>
      <c r="J6" s="579">
        <v>0.15</v>
      </c>
      <c r="K6" s="204">
        <v>1.5</v>
      </c>
      <c r="L6" s="209">
        <f>J6-(J6-J7)*(M16-I6)/(I7-I6)</f>
        <v>-2.4275079999999949E-2</v>
      </c>
      <c r="N6" s="244"/>
      <c r="O6" s="244"/>
    </row>
    <row r="7" spans="1:250" ht="20.25" customHeight="1" x14ac:dyDescent="0.2">
      <c r="A7" s="730" t="s">
        <v>298</v>
      </c>
      <c r="B7" s="730"/>
      <c r="C7" s="730"/>
      <c r="D7" s="730"/>
      <c r="E7" s="730"/>
      <c r="F7" s="730"/>
      <c r="G7" s="730"/>
      <c r="H7" s="160"/>
      <c r="I7" s="204">
        <v>0.05</v>
      </c>
      <c r="J7" s="579">
        <v>0.11</v>
      </c>
      <c r="K7" s="204">
        <v>5.5</v>
      </c>
      <c r="L7" s="209">
        <f>J7-(J7-J8)*(M16-I7)/(I8-I7)</f>
        <v>4.2862460000000019E-2</v>
      </c>
      <c r="M7" s="210"/>
      <c r="N7" s="210"/>
      <c r="O7" s="244"/>
    </row>
    <row r="8" spans="1:250" s="196" customFormat="1" ht="13.5" x14ac:dyDescent="0.2">
      <c r="A8" s="735"/>
      <c r="B8" s="735"/>
      <c r="C8" s="735"/>
      <c r="D8" s="735"/>
      <c r="E8" s="735"/>
      <c r="F8" s="735"/>
      <c r="G8" s="735"/>
      <c r="H8" s="160"/>
      <c r="I8" s="204">
        <v>0.1</v>
      </c>
      <c r="J8" s="579">
        <v>8.5000000000000006E-2</v>
      </c>
      <c r="K8" s="204">
        <v>8.5</v>
      </c>
      <c r="L8" s="209">
        <f>J8-(J8-J9)*(M16-I8)/(I9-I8)</f>
        <v>6.8144983999999992E-2</v>
      </c>
      <c r="M8" s="210"/>
      <c r="N8" s="210"/>
      <c r="O8" s="244"/>
    </row>
    <row r="9" spans="1:250" s="196" customFormat="1" ht="56.25" customHeight="1" x14ac:dyDescent="0.2">
      <c r="A9" s="735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«Медицинский центр», расположенного по адресу: 
г. Москва, Уланский пер., д.22, стр.1.</v>
      </c>
      <c r="B9" s="735"/>
      <c r="C9" s="735"/>
      <c r="D9" s="735"/>
      <c r="E9" s="735"/>
      <c r="F9" s="735"/>
      <c r="G9" s="735"/>
      <c r="H9" s="160"/>
      <c r="I9" s="204">
        <v>0.15</v>
      </c>
      <c r="J9" s="579">
        <v>7.4999999999999997E-2</v>
      </c>
      <c r="K9" s="204">
        <v>11.25</v>
      </c>
      <c r="L9" s="209">
        <f>J9-(J9-J10)*(M16-I9)/(I10-I9)</f>
        <v>6.9515987200000004E-2</v>
      </c>
      <c r="M9" s="210"/>
      <c r="N9" s="210"/>
      <c r="O9" s="244"/>
    </row>
    <row r="10" spans="1:250" s="52" customFormat="1" ht="17.25" customHeight="1" thickBot="1" x14ac:dyDescent="0.25">
      <c r="A10" s="740" t="s">
        <v>208</v>
      </c>
      <c r="B10" s="740"/>
      <c r="C10" s="740"/>
      <c r="D10" s="740"/>
      <c r="E10" s="740"/>
      <c r="F10" s="740"/>
      <c r="G10" s="740"/>
      <c r="H10" s="160"/>
      <c r="I10" s="204">
        <v>0.2</v>
      </c>
      <c r="J10" s="579">
        <v>6.7000000000000004E-2</v>
      </c>
      <c r="K10" s="204">
        <v>13.4</v>
      </c>
      <c r="L10" s="209">
        <f>J10-(J10-J11)*(M16-I10)/(I11-I10)</f>
        <v>6.9830485600000006E-2</v>
      </c>
      <c r="M10" s="210"/>
      <c r="N10" s="210"/>
      <c r="O10" s="244"/>
    </row>
    <row r="11" spans="1:250" s="196" customFormat="1" ht="43.5" customHeight="1" thickBot="1" x14ac:dyDescent="0.25">
      <c r="A11" s="736" t="s">
        <v>190</v>
      </c>
      <c r="B11" s="737"/>
      <c r="C11" s="737"/>
      <c r="D11" s="737"/>
      <c r="E11" s="737"/>
      <c r="F11" s="737"/>
      <c r="G11" s="738"/>
      <c r="H11" s="160"/>
      <c r="I11" s="204">
        <v>0.25</v>
      </c>
      <c r="J11" s="579">
        <v>5.8000000000000003E-2</v>
      </c>
      <c r="K11" s="204">
        <v>14.5</v>
      </c>
      <c r="L11" s="209">
        <f>J11-(J11-J12)*(M16-I11)/(I12-I11)</f>
        <v>6.0628996800000008E-2</v>
      </c>
      <c r="M11" s="210"/>
      <c r="N11" s="210"/>
      <c r="O11" s="244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0"/>
      <c r="DS11" s="180"/>
      <c r="DT11" s="180"/>
      <c r="DU11" s="180"/>
      <c r="DV11" s="180"/>
      <c r="DW11" s="180"/>
      <c r="DX11" s="180"/>
      <c r="DY11" s="180"/>
      <c r="DZ11" s="180"/>
      <c r="EA11" s="180"/>
      <c r="EB11" s="180"/>
      <c r="EC11" s="180"/>
      <c r="ED11" s="180"/>
      <c r="EE11" s="180"/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  <c r="FC11" s="180"/>
      <c r="FD11" s="180"/>
      <c r="FE11" s="180"/>
      <c r="FF11" s="180"/>
      <c r="FG11" s="180"/>
      <c r="FH11" s="180"/>
      <c r="FI11" s="180"/>
      <c r="FJ11" s="180"/>
      <c r="FK11" s="180"/>
      <c r="FL11" s="180"/>
      <c r="FM11" s="180"/>
      <c r="FN11" s="180"/>
      <c r="FO11" s="180"/>
      <c r="FP11" s="180"/>
      <c r="FQ11" s="180"/>
      <c r="FR11" s="180"/>
      <c r="FS11" s="180"/>
      <c r="FT11" s="180"/>
      <c r="FU11" s="180"/>
      <c r="FV11" s="180"/>
      <c r="FW11" s="180"/>
      <c r="FX11" s="180"/>
      <c r="FY11" s="180"/>
      <c r="FZ11" s="180"/>
      <c r="GA11" s="180"/>
      <c r="GB11" s="180"/>
      <c r="GC11" s="180"/>
      <c r="GD11" s="180"/>
      <c r="GE11" s="180"/>
      <c r="GF11" s="180"/>
      <c r="GG11" s="180"/>
      <c r="GH11" s="180"/>
      <c r="GI11" s="180"/>
      <c r="GJ11" s="180"/>
      <c r="GK11" s="180"/>
      <c r="GL11" s="180"/>
      <c r="GM11" s="180"/>
      <c r="GN11" s="180"/>
      <c r="GO11" s="180"/>
      <c r="GP11" s="180"/>
      <c r="GQ11" s="180"/>
      <c r="GR11" s="180"/>
      <c r="GS11" s="180"/>
      <c r="GT11" s="180"/>
      <c r="GU11" s="180"/>
      <c r="GV11" s="180"/>
      <c r="GW11" s="180"/>
      <c r="GX11" s="180"/>
      <c r="GY11" s="180"/>
      <c r="GZ11" s="180"/>
      <c r="HA11" s="180"/>
      <c r="HB11" s="180"/>
      <c r="HC11" s="180"/>
      <c r="HD11" s="180"/>
      <c r="HE11" s="180"/>
      <c r="HF11" s="180"/>
      <c r="HG11" s="180"/>
      <c r="HH11" s="180"/>
      <c r="HI11" s="180"/>
      <c r="HJ11" s="180"/>
      <c r="HK11" s="180"/>
      <c r="HL11" s="180"/>
      <c r="HM11" s="180"/>
      <c r="HN11" s="180"/>
      <c r="HO11" s="180"/>
      <c r="HP11" s="180"/>
      <c r="HQ11" s="180"/>
      <c r="HR11" s="180"/>
      <c r="HS11" s="180"/>
      <c r="HT11" s="180"/>
      <c r="HU11" s="180"/>
      <c r="HV11" s="180"/>
      <c r="HW11" s="180"/>
      <c r="HX11" s="180"/>
      <c r="HY11" s="180"/>
      <c r="HZ11" s="180"/>
      <c r="IA11" s="180"/>
      <c r="IB11" s="180"/>
      <c r="IC11" s="180"/>
      <c r="ID11" s="180"/>
      <c r="IE11" s="180"/>
      <c r="IF11" s="180"/>
      <c r="IG11" s="180"/>
      <c r="IH11" s="180"/>
      <c r="II11" s="180"/>
      <c r="IJ11" s="180"/>
      <c r="IK11" s="180"/>
      <c r="IL11" s="180"/>
      <c r="IM11" s="180"/>
      <c r="IN11" s="180"/>
      <c r="IO11" s="180"/>
      <c r="IP11" s="180"/>
    </row>
    <row r="12" spans="1:250" ht="26.25" thickBot="1" x14ac:dyDescent="0.25">
      <c r="A12" s="227" t="s">
        <v>166</v>
      </c>
      <c r="B12" s="211" t="s">
        <v>167</v>
      </c>
      <c r="C12" s="212" t="s">
        <v>9</v>
      </c>
      <c r="D12" s="211" t="s">
        <v>4</v>
      </c>
      <c r="E12" s="213" t="s">
        <v>168</v>
      </c>
      <c r="F12" s="214" t="s">
        <v>0</v>
      </c>
      <c r="G12" s="200" t="s">
        <v>6</v>
      </c>
      <c r="H12" s="160"/>
      <c r="I12" s="204">
        <v>0.3</v>
      </c>
      <c r="J12" s="579">
        <v>5.6000000000000001E-2</v>
      </c>
      <c r="K12" s="204">
        <v>16.8</v>
      </c>
      <c r="L12" s="209">
        <f>J12-(J12-J13)*(M16-I12)/(I13-I12)</f>
        <v>6.7572491999999998E-2</v>
      </c>
      <c r="M12" s="210"/>
      <c r="N12" s="210"/>
      <c r="O12" s="244"/>
    </row>
    <row r="13" spans="1:250" ht="14.25" thickBot="1" x14ac:dyDescent="0.25">
      <c r="A13" s="227"/>
      <c r="B13" s="215"/>
      <c r="C13" s="197"/>
      <c r="D13" s="228"/>
      <c r="E13" s="198"/>
      <c r="F13" s="199"/>
      <c r="G13" s="200"/>
      <c r="H13" s="160"/>
      <c r="I13" s="204">
        <v>0.4</v>
      </c>
      <c r="J13" s="579">
        <v>4.5999999999999999E-2</v>
      </c>
      <c r="K13" s="204">
        <v>18.399999999999999</v>
      </c>
      <c r="L13" s="209">
        <f>J13-(J13-J14)*(M16-I13)/(I14-I13)</f>
        <v>6.1100744400000004E-2</v>
      </c>
      <c r="M13" s="210"/>
      <c r="N13" s="210"/>
      <c r="O13" s="244"/>
    </row>
    <row r="14" spans="1:250" s="12" customFormat="1" ht="39" thickBot="1" x14ac:dyDescent="0.25">
      <c r="A14" s="201">
        <v>1</v>
      </c>
      <c r="B14" s="216" t="s">
        <v>169</v>
      </c>
      <c r="C14" s="217">
        <f>Т.с.!I61+'ООС+ТР'!H61+РДП!H23</f>
        <v>285626.38</v>
      </c>
      <c r="D14" s="229"/>
      <c r="E14" s="218"/>
      <c r="F14" s="219"/>
      <c r="G14" s="220"/>
      <c r="H14" s="160"/>
      <c r="I14" s="204">
        <v>0.5</v>
      </c>
      <c r="J14" s="579">
        <v>3.9E-2</v>
      </c>
      <c r="K14" s="204">
        <v>19.5</v>
      </c>
      <c r="L14" s="209">
        <f>J14-(J14-J16)*(M16-I14)/(I16-I14)</f>
        <v>5.1628996799999993E-2</v>
      </c>
      <c r="M14" s="210"/>
      <c r="N14" s="210"/>
      <c r="O14" s="244"/>
    </row>
    <row r="15" spans="1:250" s="12" customFormat="1" ht="30.75" hidden="1" customHeight="1" thickBot="1" x14ac:dyDescent="0.25">
      <c r="A15" s="202"/>
      <c r="B15" s="733" t="s">
        <v>170</v>
      </c>
      <c r="C15" s="739"/>
      <c r="D15" s="221" t="s">
        <v>171</v>
      </c>
      <c r="E15" s="218">
        <v>1</v>
      </c>
      <c r="F15" s="219" t="s">
        <v>176</v>
      </c>
      <c r="G15" s="220">
        <v>287966.15000000002</v>
      </c>
      <c r="J15" s="580"/>
      <c r="M15" s="210"/>
      <c r="N15" s="210"/>
      <c r="O15" s="244"/>
    </row>
    <row r="16" spans="1:250" s="12" customFormat="1" ht="39" thickBot="1" x14ac:dyDescent="0.25">
      <c r="A16" s="202"/>
      <c r="B16" s="733" t="s">
        <v>172</v>
      </c>
      <c r="C16" s="734"/>
      <c r="D16" s="226" t="s">
        <v>173</v>
      </c>
      <c r="E16" s="236">
        <v>1.55</v>
      </c>
      <c r="F16" s="236" t="str">
        <f>CONCATENATE(C14,"/",1.55)</f>
        <v>285626,38/1,55</v>
      </c>
      <c r="G16" s="222">
        <f>ROUND(C14/1.55,2)</f>
        <v>184275.08</v>
      </c>
      <c r="H16" s="160"/>
      <c r="I16" s="204">
        <v>0.6</v>
      </c>
      <c r="J16" s="579">
        <v>3.5000000000000003E-2</v>
      </c>
      <c r="K16" s="204">
        <v>21</v>
      </c>
      <c r="L16" s="209">
        <f>J16-(J16-J17)*(M16-I16)/(I17-I16)</f>
        <v>5.1628996800000021E-2</v>
      </c>
      <c r="M16" s="250">
        <f>G16/1000000</f>
        <v>0.18427507999999998</v>
      </c>
      <c r="N16" s="210"/>
      <c r="O16" s="244"/>
    </row>
    <row r="17" spans="1:15" s="12" customFormat="1" ht="26.25" thickBot="1" x14ac:dyDescent="0.25">
      <c r="A17" s="202"/>
      <c r="B17" s="733" t="s">
        <v>174</v>
      </c>
      <c r="C17" s="734"/>
      <c r="D17" s="55" t="s">
        <v>191</v>
      </c>
      <c r="E17" s="223">
        <f>ROUND(L9,4)</f>
        <v>6.9500000000000006E-2</v>
      </c>
      <c r="F17" s="55" t="str">
        <f>CONCATENATE(G16,"*",E17,"*",1.55)</f>
        <v>184275,08*0,0695*1,55</v>
      </c>
      <c r="G17" s="224">
        <f>ROUND(G16*E17*1.55,2)</f>
        <v>19851.03</v>
      </c>
      <c r="H17" s="160"/>
      <c r="I17" s="204">
        <v>0.7</v>
      </c>
      <c r="J17" s="579">
        <v>3.1E-2</v>
      </c>
      <c r="K17" s="204">
        <v>21.7</v>
      </c>
      <c r="L17" s="209">
        <f>J17-(J17-J18)*(M16-I17)/(I18-I17)</f>
        <v>4.1314498399999983E-2</v>
      </c>
      <c r="M17" s="210"/>
      <c r="N17" s="210"/>
      <c r="O17" s="244"/>
    </row>
    <row r="18" spans="1:15" ht="13.5" x14ac:dyDescent="0.2">
      <c r="H18" s="160"/>
      <c r="I18" s="204">
        <v>0.8</v>
      </c>
      <c r="J18" s="579">
        <v>2.9000000000000001E-2</v>
      </c>
      <c r="K18" s="204">
        <v>23.2</v>
      </c>
      <c r="L18" s="209">
        <f>J18-(J18-J19)*(M16-I18)/(I19-I18)</f>
        <v>4.747174760000003E-2</v>
      </c>
      <c r="M18" s="210"/>
      <c r="O18" s="244"/>
    </row>
    <row r="19" spans="1:15" ht="13.5" x14ac:dyDescent="0.2">
      <c r="H19" s="160"/>
      <c r="I19" s="204">
        <v>0.9</v>
      </c>
      <c r="J19" s="579">
        <v>2.5999999999999999E-2</v>
      </c>
      <c r="K19" s="204">
        <v>23.4</v>
      </c>
      <c r="L19" s="209">
        <f>J19-(J19-J20)*(M16-I19)/(I20-I19)</f>
        <v>4.0314498399999989E-2</v>
      </c>
      <c r="M19" s="210"/>
      <c r="N19" s="210"/>
      <c r="O19" s="244"/>
    </row>
    <row r="20" spans="1:15" ht="13.5" x14ac:dyDescent="0.2">
      <c r="H20" s="160"/>
      <c r="I20" s="204">
        <v>1</v>
      </c>
      <c r="J20" s="579">
        <v>2.4E-2</v>
      </c>
      <c r="K20" s="204">
        <v>24</v>
      </c>
      <c r="L20" s="209">
        <f>J20-(J20-J21)*(M16-I20)/(I21-I20)</f>
        <v>3.2157249200000002E-2</v>
      </c>
      <c r="M20" s="160"/>
      <c r="O20" s="244"/>
    </row>
    <row r="21" spans="1:15" ht="13.5" x14ac:dyDescent="0.2">
      <c r="H21" s="160"/>
      <c r="I21" s="204">
        <v>1.1000000000000001</v>
      </c>
      <c r="J21" s="579">
        <v>2.3E-2</v>
      </c>
      <c r="K21" s="204">
        <v>25.3</v>
      </c>
      <c r="L21" s="209">
        <f>J21-(J21-J22)*(M16-I21)/(I22-I21)</f>
        <v>3.2157249200000022E-2</v>
      </c>
      <c r="M21" s="160"/>
      <c r="O21" s="244"/>
    </row>
    <row r="22" spans="1:15" ht="13.5" x14ac:dyDescent="0.2">
      <c r="H22" s="160"/>
      <c r="I22" s="204">
        <v>1.2</v>
      </c>
      <c r="J22" s="579">
        <v>2.1999999999999999E-2</v>
      </c>
      <c r="K22" s="204">
        <v>26.4</v>
      </c>
      <c r="L22" s="209">
        <f>J22-(J22-J23)*(M16-I22)/(I23-I22)</f>
        <v>2.7078624599999997E-2</v>
      </c>
      <c r="M22" s="160"/>
      <c r="N22" s="244"/>
      <c r="O22" s="244"/>
    </row>
    <row r="23" spans="1:15" ht="13.5" x14ac:dyDescent="0.2">
      <c r="H23" s="160"/>
      <c r="I23" s="204">
        <v>1.3</v>
      </c>
      <c r="J23" s="579">
        <v>2.1499999999999998E-2</v>
      </c>
      <c r="K23" s="204">
        <v>27.3</v>
      </c>
      <c r="L23" s="209">
        <f>J23-(J23-J24)*(M16-I23)/(I24-I23)</f>
        <v>2.3731449839999988E-2</v>
      </c>
      <c r="M23" s="160"/>
      <c r="O23" s="244"/>
    </row>
    <row r="24" spans="1:15" ht="13.5" x14ac:dyDescent="0.2">
      <c r="H24" s="160"/>
      <c r="I24" s="204">
        <v>1.4</v>
      </c>
      <c r="J24" s="579">
        <v>2.1299999999999999E-2</v>
      </c>
      <c r="K24" s="204">
        <v>29.8</v>
      </c>
      <c r="L24" s="209">
        <f>J24-(J24-J25)*(M16-I24)/(I25-I24)</f>
        <v>2.4947174759999975E-2</v>
      </c>
      <c r="M24" s="160"/>
      <c r="N24" s="244"/>
      <c r="O24" s="244"/>
    </row>
    <row r="25" spans="1:15" ht="13.5" x14ac:dyDescent="0.2">
      <c r="H25" s="160"/>
      <c r="I25" s="204">
        <v>1.5</v>
      </c>
      <c r="J25" s="579">
        <v>2.1000000000000001E-2</v>
      </c>
      <c r="K25" s="204">
        <v>31.5</v>
      </c>
      <c r="L25" s="209">
        <f>J25-(J25-J26)*(M16-I25)/(I26-I25)</f>
        <v>2.6262899680000007E-2</v>
      </c>
      <c r="M25" s="160"/>
      <c r="N25" s="244"/>
      <c r="O25" s="244"/>
    </row>
    <row r="26" spans="1:15" ht="13.5" x14ac:dyDescent="0.2">
      <c r="H26" s="160"/>
      <c r="I26" s="204">
        <v>2</v>
      </c>
      <c r="J26" s="579">
        <v>1.9E-2</v>
      </c>
      <c r="K26" s="204">
        <v>38</v>
      </c>
      <c r="L26" s="209">
        <f>J26-(J26-J27)*(M16-I26)/(I27-I26)</f>
        <v>1.9E-2</v>
      </c>
      <c r="M26" s="160"/>
      <c r="N26" s="244"/>
      <c r="O26" s="244"/>
    </row>
    <row r="27" spans="1:15" ht="13.5" x14ac:dyDescent="0.2">
      <c r="H27" s="160"/>
      <c r="I27" s="204">
        <v>3</v>
      </c>
      <c r="J27" s="579">
        <v>1.9E-2</v>
      </c>
      <c r="K27" s="204">
        <v>45</v>
      </c>
      <c r="L27" s="209">
        <f>J27-(J27-J28)*(M16-I27)/(I28-I27)</f>
        <v>3.8710074439999999E-2</v>
      </c>
      <c r="M27" s="160"/>
      <c r="N27" s="244"/>
      <c r="O27" s="244"/>
    </row>
    <row r="28" spans="1:15" ht="13.5" x14ac:dyDescent="0.2">
      <c r="H28" s="160"/>
      <c r="I28" s="204">
        <v>4</v>
      </c>
      <c r="J28" s="579">
        <v>1.2E-2</v>
      </c>
      <c r="K28" s="204">
        <v>48</v>
      </c>
      <c r="L28" s="209">
        <f>J28-(J28-J29)*(M16-I28)/(I29-I28)</f>
        <v>1.5815724920000003E-2</v>
      </c>
      <c r="M28" s="160"/>
      <c r="N28" s="244"/>
      <c r="O28" s="244"/>
    </row>
    <row r="29" spans="1:15" ht="13.5" x14ac:dyDescent="0.2">
      <c r="H29" s="160"/>
      <c r="I29" s="204">
        <v>5</v>
      </c>
      <c r="J29" s="579">
        <v>1.0999999999999999E-2</v>
      </c>
      <c r="K29" s="204">
        <v>55</v>
      </c>
      <c r="L29" s="209">
        <f>J29-(J29-J30)*(M16-I29)/(I30-I29)</f>
        <v>1.3407862459999993E-2</v>
      </c>
      <c r="M29" s="160"/>
      <c r="N29" s="244"/>
      <c r="O29" s="244"/>
    </row>
    <row r="30" spans="1:15" ht="13.5" x14ac:dyDescent="0.2">
      <c r="H30" s="160"/>
      <c r="I30" s="204">
        <v>6</v>
      </c>
      <c r="J30" s="579">
        <v>1.0500000000000001E-2</v>
      </c>
      <c r="K30" s="204">
        <v>63</v>
      </c>
      <c r="L30" s="209">
        <f>J30-(J30-J31)*(M16-I30)/(I31-I30)</f>
        <v>1.3407862460000003E-2</v>
      </c>
      <c r="M30" s="160"/>
      <c r="N30" s="244"/>
      <c r="O30" s="244"/>
    </row>
    <row r="31" spans="1:15" ht="13.5" x14ac:dyDescent="0.2">
      <c r="H31" s="160"/>
      <c r="I31" s="204">
        <v>7</v>
      </c>
      <c r="J31" s="579">
        <v>0.01</v>
      </c>
      <c r="K31" s="204">
        <v>70</v>
      </c>
      <c r="L31" s="209">
        <f>J31-(J31-J32)*(M16-I31)/(I32-I31)</f>
        <v>1.4089434951999999E-2</v>
      </c>
      <c r="M31" s="160"/>
      <c r="N31" s="244"/>
      <c r="O31" s="244"/>
    </row>
    <row r="32" spans="1:15" ht="13.5" x14ac:dyDescent="0.2">
      <c r="H32" s="160"/>
      <c r="I32" s="204">
        <v>8</v>
      </c>
      <c r="J32" s="579">
        <v>9.4000000000000004E-3</v>
      </c>
      <c r="K32" s="204">
        <v>78.400000000000006</v>
      </c>
      <c r="L32" s="209">
        <f>J32-(J32-J33)*(M16-I32)/(I33-I32)</f>
        <v>6.2737100320000051E-3</v>
      </c>
      <c r="M32" s="160"/>
      <c r="N32" s="244"/>
      <c r="O32" s="244"/>
    </row>
    <row r="33" spans="8:15" ht="13.5" x14ac:dyDescent="0.2">
      <c r="H33" s="160"/>
      <c r="I33" s="204">
        <v>9</v>
      </c>
      <c r="J33" s="579">
        <v>9.7999999999999997E-3</v>
      </c>
      <c r="K33" s="204">
        <v>85.5</v>
      </c>
      <c r="L33" s="209">
        <f>J33-(J33-J34)*(M16-I33)/(I34-I33)</f>
        <v>1.2444717475999999E-2</v>
      </c>
      <c r="M33" s="160"/>
      <c r="N33" s="244"/>
      <c r="O33" s="244"/>
    </row>
    <row r="34" spans="8:15" ht="13.5" x14ac:dyDescent="0.2">
      <c r="H34" s="160"/>
      <c r="I34" s="204">
        <v>10</v>
      </c>
      <c r="J34" s="579">
        <v>9.4999999999999998E-3</v>
      </c>
      <c r="K34" s="204">
        <v>95</v>
      </c>
      <c r="L34" s="209" t="e">
        <f>J34-(J34-J35)*(M16-I34)/(I35-I34)</f>
        <v>#DIV/0!</v>
      </c>
      <c r="M34" s="160"/>
      <c r="N34" s="244"/>
      <c r="O34" s="244"/>
    </row>
    <row r="35" spans="8:15" ht="13.5" x14ac:dyDescent="0.2">
      <c r="H35" s="160"/>
      <c r="I35" s="204">
        <v>10</v>
      </c>
      <c r="J35" s="579">
        <v>8.9999999999999993E-3</v>
      </c>
      <c r="K35" s="204">
        <v>90</v>
      </c>
      <c r="L35" s="209" t="e">
        <f>J35-(J35-#REF!)*(M16-I35)/(#REF!-I35)</f>
        <v>#REF!</v>
      </c>
      <c r="M35" s="160"/>
      <c r="N35" s="244"/>
      <c r="O35" s="244"/>
    </row>
    <row r="36" spans="8:15" x14ac:dyDescent="0.2">
      <c r="H36" s="160"/>
      <c r="I36" s="225" t="s">
        <v>186</v>
      </c>
      <c r="J36" s="251"/>
      <c r="K36" s="160"/>
      <c r="L36" s="251"/>
      <c r="M36" s="160"/>
      <c r="N36" s="244"/>
      <c r="O36" s="244"/>
    </row>
    <row r="37" spans="8:15" x14ac:dyDescent="0.2">
      <c r="H37" s="160"/>
      <c r="I37" s="160"/>
      <c r="J37" s="251"/>
      <c r="K37" s="160"/>
      <c r="L37" s="251"/>
      <c r="M37" s="160"/>
      <c r="N37" s="244"/>
      <c r="O37" s="244"/>
    </row>
    <row r="38" spans="8:15" x14ac:dyDescent="0.2">
      <c r="H38" s="160"/>
      <c r="I38" s="160"/>
      <c r="J38" s="251"/>
      <c r="K38" s="160"/>
      <c r="L38" s="251"/>
      <c r="M38" s="160"/>
      <c r="N38" s="244"/>
      <c r="O38" s="244"/>
    </row>
    <row r="39" spans="8:15" x14ac:dyDescent="0.2">
      <c r="N39" s="244"/>
      <c r="O39" s="244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2016-11-22T11:18:34Z</cp:lastPrinted>
  <dcterms:created xsi:type="dcterms:W3CDTF">2004-03-03T10:32:04Z</dcterms:created>
  <dcterms:modified xsi:type="dcterms:W3CDTF">2017-01-27T09:13:43Z</dcterms:modified>
</cp:coreProperties>
</file>