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2205" yWindow="555" windowWidth="23250" windowHeight="11925" tabRatio="883" firstSheet="1" activeTab="1"/>
  </bookViews>
  <sheets>
    <sheet name=" ССР" sheetId="66" state="hidden" r:id="rId1"/>
    <sheet name=" ССР (нов)" sheetId="80" r:id="rId2"/>
    <sheet name="Т.с." sheetId="62" r:id="rId3"/>
    <sheet name="вв-выводы" sheetId="74" state="hidden" r:id="rId4"/>
    <sheet name="ООС+ТР" sheetId="70" r:id="rId5"/>
    <sheet name="ТР " sheetId="81" state="hidden" r:id="rId6"/>
    <sheet name="ПОЖ" sheetId="71" r:id="rId7"/>
    <sheet name="РДП" sheetId="73" r:id="rId8"/>
    <sheet name="СОГЛ" sheetId="72" r:id="rId9"/>
    <sheet name="Перекладка " sheetId="75" state="hidden" r:id="rId10"/>
    <sheet name="обслед" sheetId="76" state="hidden" r:id="rId11"/>
    <sheet name="шурф" sheetId="77" state="hidden" r:id="rId12"/>
    <sheet name="оцен влиян" sheetId="78" state="hidden" r:id="rId13"/>
    <sheet name="мониторинг" sheetId="79" state="hidden" r:id="rId14"/>
    <sheet name="экол" sheetId="63" r:id="rId15"/>
    <sheet name="Геология" sheetId="84" r:id="rId16"/>
    <sheet name="геодезия" sheetId="83" r:id="rId17"/>
    <sheet name="АН" sheetId="85" r:id="rId18"/>
    <sheet name="Расчет эскертизы" sheetId="86" r:id="rId19"/>
    <sheet name="размножение проекта" sheetId="82" state="hidden" r:id="rId20"/>
  </sheets>
  <externalReferences>
    <externalReference r:id="rId21"/>
  </externalReferences>
  <definedNames>
    <definedName name="_xlnm.Print_Titles" localSheetId="13">мониторинг!$7:$8</definedName>
    <definedName name="_xlnm.Print_Titles" localSheetId="10">обслед!$9:$9</definedName>
    <definedName name="_xlnm.Print_Titles" localSheetId="4">'ООС+ТР'!$14:$14</definedName>
    <definedName name="_xlnm.Print_Titles" localSheetId="12">'оцен влиян'!$8:$8</definedName>
    <definedName name="_xlnm.Print_Titles" localSheetId="9">'Перекладка '!$13:$13</definedName>
    <definedName name="_xlnm.Print_Titles" localSheetId="2">Т.с.!$14:$14</definedName>
    <definedName name="_xlnm.Print_Titles" localSheetId="5">'ТР '!$12:$12</definedName>
    <definedName name="_xlnm.Print_Titles" localSheetId="11">шурф!$13:$13</definedName>
    <definedName name="_xlnm.Print_Area" localSheetId="0">' ССР'!$A$1:$D$40</definedName>
    <definedName name="_xlnm.Print_Area" localSheetId="1">' ССР (нов)'!$A$1:$G$39</definedName>
    <definedName name="_xlnm.Print_Area" localSheetId="17">АН!$A$1:$F$23</definedName>
    <definedName name="_xlnm.Print_Area" localSheetId="3">'вв-выводы'!$A$1:$K$35</definedName>
    <definedName name="_xlnm.Print_Area" localSheetId="15">Геология!$A$1:$G$25</definedName>
    <definedName name="_xlnm.Print_Area" localSheetId="13">мониторинг!$A$1:$I$70</definedName>
    <definedName name="_xlnm.Print_Area" localSheetId="10">обслед!$A$1:$G$184</definedName>
    <definedName name="_xlnm.Print_Area" localSheetId="4">'ООС+ТР'!$A$1:$H$74</definedName>
    <definedName name="_xlnm.Print_Area" localSheetId="12">'оцен влиян'!$A$1:$G$20</definedName>
    <definedName name="_xlnm.Print_Area" localSheetId="9">'Перекладка '!$A$1:$H$86</definedName>
    <definedName name="_xlnm.Print_Area" localSheetId="6">ПОЖ!$A$1:$H$19</definedName>
    <definedName name="_xlnm.Print_Area" localSheetId="19">'размножение проекта'!$A$1:$K$34</definedName>
    <definedName name="_xlnm.Print_Area" localSheetId="18">'Расчет эскертизы'!$A$1:$H$41</definedName>
    <definedName name="_xlnm.Print_Area" localSheetId="7">РДП!$A$1:$H$27</definedName>
    <definedName name="_xlnm.Print_Area" localSheetId="8">СОГЛ!$A$1:$G$20</definedName>
    <definedName name="_xlnm.Print_Area" localSheetId="2">Т.с.!$A$1:$H$100</definedName>
    <definedName name="_xlnm.Print_Area" localSheetId="5">'ТР '!$A$1:$H$46</definedName>
    <definedName name="_xlnm.Print_Area" localSheetId="11">шурф!$A$1:$K$52</definedName>
    <definedName name="_xlnm.Print_Area" localSheetId="14">экол!$A$1:$G$19</definedName>
  </definedNames>
  <calcPr calcId="145621"/>
</workbook>
</file>

<file path=xl/calcChain.xml><?xml version="1.0" encoding="utf-8"?>
<calcChain xmlns="http://schemas.openxmlformats.org/spreadsheetml/2006/main">
  <c r="E17" i="72" l="1"/>
  <c r="H17" i="71"/>
  <c r="H24" i="73" l="1"/>
  <c r="H42" i="62" l="1"/>
  <c r="H36" i="62"/>
  <c r="I34" i="86" l="1"/>
  <c r="H62" i="70" l="1"/>
  <c r="H61" i="70"/>
  <c r="H54" i="62" l="1"/>
  <c r="H50" i="62"/>
  <c r="A5" i="86" l="1"/>
  <c r="A6" i="86"/>
  <c r="H22" i="86"/>
  <c r="G22" i="86"/>
  <c r="H17" i="86"/>
  <c r="G17" i="86"/>
  <c r="H13" i="86"/>
  <c r="G13" i="86"/>
  <c r="H12" i="86"/>
  <c r="G12" i="86"/>
  <c r="H11" i="86"/>
  <c r="G11" i="86"/>
  <c r="A8" i="85"/>
  <c r="A7" i="85"/>
  <c r="F14" i="83"/>
  <c r="F13" i="84"/>
  <c r="A8" i="83"/>
  <c r="A7" i="83"/>
  <c r="A8" i="84"/>
  <c r="A7" i="84"/>
  <c r="G15" i="84" l="1"/>
  <c r="G17" i="84" s="1"/>
  <c r="G18" i="84" s="1"/>
  <c r="G20" i="84" s="1"/>
  <c r="D13" i="80" s="1"/>
  <c r="G13" i="80" s="1"/>
  <c r="F15" i="84"/>
  <c r="F16" i="83"/>
  <c r="G16" i="83" s="1"/>
  <c r="G18" i="83" s="1"/>
  <c r="G19" i="83" s="1"/>
  <c r="G21" i="83" s="1"/>
  <c r="D14" i="80" s="1"/>
  <c r="G14" i="80" s="1"/>
  <c r="D28" i="80"/>
  <c r="H27" i="77"/>
  <c r="C30" i="72"/>
  <c r="G17" i="83" l="1"/>
  <c r="H33" i="81" l="1"/>
  <c r="H32" i="81"/>
  <c r="H25" i="82" l="1"/>
  <c r="D25" i="82"/>
  <c r="G25" i="82" s="1"/>
  <c r="G19" i="82"/>
  <c r="I25" i="82" s="1"/>
  <c r="I18" i="82"/>
  <c r="A9" i="82"/>
  <c r="A8" i="82"/>
  <c r="H20" i="81"/>
  <c r="I19" i="82" l="1"/>
  <c r="K19" i="82"/>
  <c r="J25" i="82" s="1"/>
  <c r="K25" i="82" s="1"/>
  <c r="B31" i="82" s="1"/>
  <c r="E31" i="82" s="1"/>
  <c r="H82" i="72"/>
  <c r="G81" i="72"/>
  <c r="E81" i="72"/>
  <c r="C80" i="72"/>
  <c r="G79" i="72"/>
  <c r="E79" i="72"/>
  <c r="C78" i="72"/>
  <c r="H78" i="72" s="1"/>
  <c r="G77" i="72"/>
  <c r="E77" i="72"/>
  <c r="C76" i="72"/>
  <c r="G75" i="72"/>
  <c r="E75" i="72"/>
  <c r="C74" i="72"/>
  <c r="G73" i="72"/>
  <c r="E73" i="72"/>
  <c r="C72" i="72"/>
  <c r="G71" i="72"/>
  <c r="E71" i="72"/>
  <c r="C70" i="72"/>
  <c r="H70" i="72" s="1"/>
  <c r="G69" i="72"/>
  <c r="E69" i="72"/>
  <c r="C68" i="72"/>
  <c r="G67" i="72"/>
  <c r="E67" i="72"/>
  <c r="C66" i="72"/>
  <c r="G65" i="72"/>
  <c r="E65" i="72"/>
  <c r="C64" i="72"/>
  <c r="G63" i="72"/>
  <c r="E63" i="72"/>
  <c r="C62" i="72"/>
  <c r="H62" i="72" s="1"/>
  <c r="G61" i="72"/>
  <c r="E61" i="72"/>
  <c r="C60" i="72"/>
  <c r="G59" i="72"/>
  <c r="E59" i="72"/>
  <c r="C58" i="72"/>
  <c r="G57" i="72"/>
  <c r="E57" i="72"/>
  <c r="C56" i="72"/>
  <c r="G55" i="72"/>
  <c r="E55" i="72"/>
  <c r="C54" i="72"/>
  <c r="H54" i="72" s="1"/>
  <c r="G53" i="72"/>
  <c r="E53" i="72"/>
  <c r="C52" i="72"/>
  <c r="G51" i="72"/>
  <c r="E51" i="72"/>
  <c r="C50" i="72"/>
  <c r="G49" i="72"/>
  <c r="E49" i="72"/>
  <c r="C48" i="72"/>
  <c r="G47" i="72"/>
  <c r="E47" i="72"/>
  <c r="C46" i="72"/>
  <c r="H46" i="72" s="1"/>
  <c r="G45" i="72"/>
  <c r="E45" i="72"/>
  <c r="C44" i="72"/>
  <c r="G43" i="72"/>
  <c r="E43" i="72"/>
  <c r="C42" i="72"/>
  <c r="G41" i="72"/>
  <c r="E41" i="72"/>
  <c r="G39" i="72"/>
  <c r="E39" i="72"/>
  <c r="G37" i="72"/>
  <c r="E37" i="72"/>
  <c r="G35" i="72"/>
  <c r="E35" i="72"/>
  <c r="G33" i="72"/>
  <c r="E33" i="72"/>
  <c r="B32" i="72"/>
  <c r="C32" i="72" s="1"/>
  <c r="G31" i="72"/>
  <c r="E31" i="72"/>
  <c r="H30" i="72"/>
  <c r="G29" i="72"/>
  <c r="E29" i="72"/>
  <c r="C28" i="72"/>
  <c r="C10" i="79"/>
  <c r="B10" i="78"/>
  <c r="H28" i="72" l="1"/>
  <c r="H40" i="72"/>
  <c r="H44" i="72"/>
  <c r="H52" i="72"/>
  <c r="H60" i="72"/>
  <c r="H68" i="72"/>
  <c r="H76" i="72"/>
  <c r="H42" i="72"/>
  <c r="H50" i="72"/>
  <c r="H58" i="72"/>
  <c r="H66" i="72"/>
  <c r="H74" i="72"/>
  <c r="H32" i="72"/>
  <c r="H48" i="72"/>
  <c r="H56" i="72"/>
  <c r="H64" i="72"/>
  <c r="H72" i="72"/>
  <c r="H80" i="72"/>
  <c r="G28" i="80"/>
  <c r="G32" i="81"/>
  <c r="H21" i="81" l="1"/>
  <c r="G21" i="81"/>
  <c r="H60" i="70"/>
  <c r="H48" i="70"/>
  <c r="G61" i="70"/>
  <c r="H49" i="70"/>
  <c r="G49" i="70" l="1"/>
  <c r="A10" i="72"/>
  <c r="A9" i="72"/>
  <c r="D19" i="73"/>
  <c r="H19" i="73" l="1"/>
  <c r="G19" i="73"/>
  <c r="D14" i="73"/>
  <c r="A8" i="81"/>
  <c r="A8" i="70"/>
  <c r="A9" i="70"/>
  <c r="F11" i="63"/>
  <c r="A5" i="63"/>
  <c r="A4" i="63"/>
  <c r="A6" i="76"/>
  <c r="A7" i="77"/>
  <c r="A4" i="78"/>
  <c r="A4" i="79"/>
  <c r="A3" i="79"/>
  <c r="A3" i="78"/>
  <c r="A6" i="77"/>
  <c r="A5" i="76"/>
  <c r="A8" i="75"/>
  <c r="A7" i="75"/>
  <c r="A8" i="73"/>
  <c r="A7" i="73"/>
  <c r="A6" i="71"/>
  <c r="A5" i="71"/>
  <c r="G33" i="81"/>
  <c r="F31" i="81"/>
  <c r="H30" i="81" s="1"/>
  <c r="H22" i="81"/>
  <c r="G20" i="81"/>
  <c r="F19" i="81"/>
  <c r="F24" i="81" s="1"/>
  <c r="G15" i="81"/>
  <c r="H15" i="81" s="1"/>
  <c r="H13" i="81"/>
  <c r="H14" i="81" s="1"/>
  <c r="G13" i="81"/>
  <c r="A7" i="81"/>
  <c r="G50" i="70"/>
  <c r="G62" i="70"/>
  <c r="F59" i="70"/>
  <c r="G60" i="70"/>
  <c r="F47" i="70"/>
  <c r="F56" i="70" s="1"/>
  <c r="H42" i="70"/>
  <c r="H43" i="70" s="1"/>
  <c r="G42" i="70"/>
  <c r="G48" i="70"/>
  <c r="F39" i="70"/>
  <c r="G39" i="70" s="1"/>
  <c r="H38" i="70"/>
  <c r="G38" i="70"/>
  <c r="H36" i="70"/>
  <c r="G37" i="70" s="1"/>
  <c r="H35" i="70"/>
  <c r="G36" i="70"/>
  <c r="G35" i="70"/>
  <c r="B30" i="70"/>
  <c r="B29" i="70"/>
  <c r="B28" i="70"/>
  <c r="H30" i="70"/>
  <c r="G30" i="70"/>
  <c r="H29" i="70"/>
  <c r="G29" i="70"/>
  <c r="H28" i="70"/>
  <c r="G28" i="70"/>
  <c r="H26" i="70"/>
  <c r="G26" i="70"/>
  <c r="H24" i="70"/>
  <c r="G24" i="70"/>
  <c r="G22" i="70"/>
  <c r="H22" i="70" s="1"/>
  <c r="H21" i="70"/>
  <c r="G21" i="70"/>
  <c r="H20" i="70"/>
  <c r="G20" i="70"/>
  <c r="H19" i="70"/>
  <c r="G19" i="70"/>
  <c r="H18" i="70"/>
  <c r="G18" i="70"/>
  <c r="A8" i="74"/>
  <c r="A9" i="74"/>
  <c r="F64" i="70" l="1"/>
  <c r="H63" i="70" s="1"/>
  <c r="H58" i="70"/>
  <c r="I20" i="73"/>
  <c r="H23" i="73"/>
  <c r="F28" i="81"/>
  <c r="H27" i="81" s="1"/>
  <c r="H18" i="81"/>
  <c r="G18" i="81"/>
  <c r="F26" i="81"/>
  <c r="H23" i="81"/>
  <c r="G23" i="81"/>
  <c r="F35" i="81"/>
  <c r="H34" i="81" s="1"/>
  <c r="G22" i="81"/>
  <c r="F37" i="81"/>
  <c r="H36" i="81" s="1"/>
  <c r="G30" i="81"/>
  <c r="F39" i="81"/>
  <c r="H38" i="81" s="1"/>
  <c r="H50" i="70"/>
  <c r="G63" i="70"/>
  <c r="F66" i="70"/>
  <c r="H65" i="70" s="1"/>
  <c r="F68" i="70"/>
  <c r="H67" i="70" s="1"/>
  <c r="G31" i="70"/>
  <c r="G32" i="70" s="1"/>
  <c r="G58" i="70"/>
  <c r="G43" i="70"/>
  <c r="G46" i="70"/>
  <c r="H46" i="70"/>
  <c r="H55" i="70"/>
  <c r="G55" i="70"/>
  <c r="G34" i="70"/>
  <c r="H33" i="70"/>
  <c r="G33" i="70"/>
  <c r="H32" i="70"/>
  <c r="H37" i="70"/>
  <c r="F54" i="70"/>
  <c r="H53" i="70" s="1"/>
  <c r="F52" i="70"/>
  <c r="H39" i="70"/>
  <c r="H40" i="70" s="1"/>
  <c r="D63" i="62"/>
  <c r="G63" i="62" s="1"/>
  <c r="A9" i="62"/>
  <c r="A8" i="62"/>
  <c r="G13" i="79"/>
  <c r="G14" i="79" s="1"/>
  <c r="G12" i="79"/>
  <c r="G67" i="79"/>
  <c r="H67" i="79" s="1"/>
  <c r="E67" i="79"/>
  <c r="G55" i="79"/>
  <c r="G54" i="79"/>
  <c r="G53" i="79"/>
  <c r="G52" i="79"/>
  <c r="G51" i="79"/>
  <c r="G50" i="79"/>
  <c r="G49" i="79"/>
  <c r="G47" i="79"/>
  <c r="E44" i="79"/>
  <c r="G43" i="79"/>
  <c r="G42" i="79"/>
  <c r="G41" i="79"/>
  <c r="G35" i="79"/>
  <c r="G34" i="79"/>
  <c r="G33" i="79"/>
  <c r="G32" i="79"/>
  <c r="G31" i="79"/>
  <c r="G30" i="79"/>
  <c r="G29" i="79"/>
  <c r="G28" i="79"/>
  <c r="G27" i="79"/>
  <c r="G21" i="79"/>
  <c r="G23" i="79" s="1"/>
  <c r="B60" i="79"/>
  <c r="F15" i="78"/>
  <c r="G15" i="78" s="1"/>
  <c r="G14" i="78"/>
  <c r="G13" i="78"/>
  <c r="F12" i="78"/>
  <c r="G12" i="78" s="1"/>
  <c r="H44" i="77"/>
  <c r="K44" i="77" s="1"/>
  <c r="H43" i="77"/>
  <c r="J43" i="77" s="1"/>
  <c r="J27" i="77"/>
  <c r="H26" i="77"/>
  <c r="J26" i="77" s="1"/>
  <c r="C26" i="77"/>
  <c r="H25" i="77"/>
  <c r="J25" i="77" s="1"/>
  <c r="C25" i="77"/>
  <c r="H24" i="77"/>
  <c r="J24" i="77" s="1"/>
  <c r="C24" i="77"/>
  <c r="K21" i="77"/>
  <c r="J21" i="77"/>
  <c r="C21" i="77"/>
  <c r="K18" i="77"/>
  <c r="J18" i="77"/>
  <c r="C18" i="77"/>
  <c r="K15" i="77"/>
  <c r="J15" i="77"/>
  <c r="C15" i="77"/>
  <c r="B183" i="76"/>
  <c r="G182" i="76"/>
  <c r="G179" i="76"/>
  <c r="G178" i="76"/>
  <c r="G174" i="76"/>
  <c r="G171" i="76"/>
  <c r="I165" i="76"/>
  <c r="G162" i="76"/>
  <c r="I159" i="76"/>
  <c r="G156" i="76"/>
  <c r="G153" i="76"/>
  <c r="G150" i="76"/>
  <c r="E147" i="76"/>
  <c r="G142" i="76"/>
  <c r="G141" i="76"/>
  <c r="G139" i="76"/>
  <c r="G138" i="76"/>
  <c r="G137" i="76"/>
  <c r="G136" i="76"/>
  <c r="E131" i="76"/>
  <c r="G130" i="76"/>
  <c r="G129" i="76"/>
  <c r="G128" i="76"/>
  <c r="G122" i="76"/>
  <c r="G121" i="76"/>
  <c r="G120" i="76"/>
  <c r="G119" i="76"/>
  <c r="G118" i="76"/>
  <c r="G117" i="76"/>
  <c r="G116" i="76"/>
  <c r="G114" i="76"/>
  <c r="G110" i="76"/>
  <c r="B96" i="76"/>
  <c r="G95" i="76"/>
  <c r="G92" i="76"/>
  <c r="G91" i="76"/>
  <c r="G87" i="76"/>
  <c r="G84" i="76"/>
  <c r="I78" i="76"/>
  <c r="G75" i="76"/>
  <c r="G69" i="76"/>
  <c r="G66" i="76"/>
  <c r="G63" i="76"/>
  <c r="E60" i="76"/>
  <c r="G55" i="76"/>
  <c r="G54" i="76"/>
  <c r="G53" i="76"/>
  <c r="G52" i="76"/>
  <c r="G51" i="76"/>
  <c r="G50" i="76"/>
  <c r="G49" i="76"/>
  <c r="E44" i="76"/>
  <c r="G43" i="76"/>
  <c r="G42" i="76"/>
  <c r="G41" i="76"/>
  <c r="G35" i="76"/>
  <c r="G34" i="76"/>
  <c r="G33" i="76"/>
  <c r="G32" i="76"/>
  <c r="G31" i="76"/>
  <c r="G30" i="76"/>
  <c r="G29" i="76"/>
  <c r="G28" i="76"/>
  <c r="G27" i="76"/>
  <c r="G23" i="76"/>
  <c r="G14" i="76"/>
  <c r="G56" i="79" l="1"/>
  <c r="H63" i="62"/>
  <c r="G40" i="70"/>
  <c r="H34" i="70"/>
  <c r="G27" i="81"/>
  <c r="G25" i="81"/>
  <c r="H25" i="81"/>
  <c r="H40" i="81" s="1"/>
  <c r="G38" i="81"/>
  <c r="G36" i="81"/>
  <c r="G34" i="81"/>
  <c r="G67" i="70"/>
  <c r="G65" i="70"/>
  <c r="G53" i="70"/>
  <c r="H51" i="70"/>
  <c r="G51" i="70"/>
  <c r="G36" i="79"/>
  <c r="G46" i="79"/>
  <c r="G16" i="78"/>
  <c r="G17" i="78" s="1"/>
  <c r="G18" i="78" s="1"/>
  <c r="K24" i="77"/>
  <c r="J44" i="77"/>
  <c r="K26" i="77"/>
  <c r="G143" i="76"/>
  <c r="G133" i="76"/>
  <c r="G147" i="76" s="1"/>
  <c r="E171" i="76" s="1"/>
  <c r="G36" i="76"/>
  <c r="G39" i="76" s="1"/>
  <c r="G56" i="76"/>
  <c r="G123" i="76"/>
  <c r="G126" i="76" s="1"/>
  <c r="G46" i="76"/>
  <c r="G60" i="76" s="1"/>
  <c r="G78" i="76" s="1"/>
  <c r="G146" i="76"/>
  <c r="H39" i="79"/>
  <c r="G59" i="79"/>
  <c r="H59" i="79"/>
  <c r="B70" i="79"/>
  <c r="K27" i="77"/>
  <c r="K25" i="77"/>
  <c r="H29" i="77"/>
  <c r="K43" i="77"/>
  <c r="E78" i="76"/>
  <c r="D42" i="62"/>
  <c r="D36" i="62"/>
  <c r="E90" i="76" l="1"/>
  <c r="G168" i="76"/>
  <c r="G19" i="78"/>
  <c r="G20" i="78" s="1"/>
  <c r="D17" i="80" s="1"/>
  <c r="G41" i="81"/>
  <c r="H60" i="79"/>
  <c r="E61" i="79" s="1"/>
  <c r="E64" i="79" s="1"/>
  <c r="H64" i="79" s="1"/>
  <c r="E177" i="76"/>
  <c r="G177" i="76"/>
  <c r="E159" i="76"/>
  <c r="E174" i="76"/>
  <c r="E168" i="76"/>
  <c r="E165" i="76"/>
  <c r="G159" i="76"/>
  <c r="G165" i="76"/>
  <c r="E84" i="76"/>
  <c r="G81" i="76"/>
  <c r="G59" i="76"/>
  <c r="E81" i="76"/>
  <c r="G72" i="76"/>
  <c r="G90" i="76"/>
  <c r="E72" i="76"/>
  <c r="E87" i="76"/>
  <c r="H30" i="77"/>
  <c r="K29" i="77"/>
  <c r="J29" i="77"/>
  <c r="G36" i="62"/>
  <c r="G42" i="62"/>
  <c r="H61" i="79" l="1"/>
  <c r="H41" i="81"/>
  <c r="H42" i="81" s="1"/>
  <c r="H70" i="79"/>
  <c r="G181" i="76"/>
  <c r="G183" i="76" s="1"/>
  <c r="G184" i="76" s="1"/>
  <c r="H94" i="76"/>
  <c r="H181" i="76"/>
  <c r="G94" i="76"/>
  <c r="G96" i="76" s="1"/>
  <c r="D15" i="80" s="1"/>
  <c r="G15" i="80"/>
  <c r="G17" i="80"/>
  <c r="H40" i="77"/>
  <c r="H39" i="77"/>
  <c r="K30" i="77"/>
  <c r="K31" i="77" s="1"/>
  <c r="K32" i="77" s="1"/>
  <c r="K33" i="77" s="1"/>
  <c r="H38" i="77"/>
  <c r="K38" i="77" s="1"/>
  <c r="J30" i="77"/>
  <c r="H97" i="62"/>
  <c r="G97" i="62"/>
  <c r="H96" i="62"/>
  <c r="G96" i="62"/>
  <c r="H95" i="62"/>
  <c r="G95" i="62"/>
  <c r="H94" i="62"/>
  <c r="G94" i="62"/>
  <c r="H93" i="62"/>
  <c r="G93" i="62"/>
  <c r="H92" i="62"/>
  <c r="G92" i="62"/>
  <c r="D18" i="80" l="1"/>
  <c r="G18" i="80" s="1"/>
  <c r="H44" i="81"/>
  <c r="G43" i="81"/>
  <c r="H43" i="81"/>
  <c r="H45" i="81" s="1"/>
  <c r="D23" i="80" s="1"/>
  <c r="G42" i="81"/>
  <c r="G44" i="81"/>
  <c r="H98" i="62"/>
  <c r="K34" i="77"/>
  <c r="K36" i="77" s="1"/>
  <c r="J34" i="77"/>
  <c r="K39" i="77"/>
  <c r="J39" i="77"/>
  <c r="J40" i="77"/>
  <c r="K40" i="77"/>
  <c r="J38" i="77"/>
  <c r="D77" i="75"/>
  <c r="G77" i="75" s="1"/>
  <c r="D74" i="75"/>
  <c r="H74" i="75" s="1"/>
  <c r="D70" i="75"/>
  <c r="G70" i="75" s="1"/>
  <c r="D67" i="75"/>
  <c r="H67" i="75" s="1"/>
  <c r="D62" i="75"/>
  <c r="G62" i="75" s="1"/>
  <c r="D59" i="75"/>
  <c r="H59" i="75" s="1"/>
  <c r="D55" i="75"/>
  <c r="G55" i="75" s="1"/>
  <c r="D52" i="75"/>
  <c r="H52" i="75" s="1"/>
  <c r="D47" i="75"/>
  <c r="H47" i="75" s="1"/>
  <c r="D44" i="75"/>
  <c r="G44" i="75" s="1"/>
  <c r="D39" i="75"/>
  <c r="G39" i="75" s="1"/>
  <c r="D35" i="75"/>
  <c r="H35" i="75" s="1"/>
  <c r="D29" i="75"/>
  <c r="H29" i="75" s="1"/>
  <c r="D24" i="75"/>
  <c r="G24" i="75" s="1"/>
  <c r="C20" i="75"/>
  <c r="D19" i="75" s="1"/>
  <c r="G19" i="75" s="1"/>
  <c r="D15" i="75"/>
  <c r="H15" i="75" s="1"/>
  <c r="H19" i="75" l="1"/>
  <c r="H62" i="75"/>
  <c r="H77" i="75"/>
  <c r="G23" i="80"/>
  <c r="G45" i="81"/>
  <c r="D37" i="66"/>
  <c r="K41" i="77"/>
  <c r="H39" i="75"/>
  <c r="H42" i="75" s="1"/>
  <c r="G29" i="75"/>
  <c r="G35" i="75"/>
  <c r="G47" i="75"/>
  <c r="G52" i="75"/>
  <c r="G15" i="75"/>
  <c r="G59" i="75"/>
  <c r="I22" i="75"/>
  <c r="H24" i="75"/>
  <c r="H33" i="75" s="1"/>
  <c r="H44" i="75"/>
  <c r="H50" i="75" s="1"/>
  <c r="G67" i="75"/>
  <c r="H70" i="75"/>
  <c r="G74" i="75"/>
  <c r="H55" i="75"/>
  <c r="I65" i="75" s="1"/>
  <c r="D54" i="62"/>
  <c r="D50" i="62"/>
  <c r="D46" i="62"/>
  <c r="H46" i="62" s="1"/>
  <c r="G46" i="62" l="1"/>
  <c r="G54" i="62"/>
  <c r="G50" i="62"/>
  <c r="K47" i="77"/>
  <c r="K48" i="77" s="1"/>
  <c r="J47" i="77"/>
  <c r="H81" i="75"/>
  <c r="H22" i="75"/>
  <c r="H65" i="75"/>
  <c r="I21" i="74"/>
  <c r="H29" i="74"/>
  <c r="D29" i="74"/>
  <c r="G29" i="74" s="1"/>
  <c r="G23" i="74"/>
  <c r="I29" i="74" s="1"/>
  <c r="I22" i="74"/>
  <c r="I20" i="74"/>
  <c r="I19" i="74"/>
  <c r="I18" i="74"/>
  <c r="K23" i="74" s="1"/>
  <c r="I23" i="74" l="1"/>
  <c r="K49" i="77"/>
  <c r="K50" i="77" s="1"/>
  <c r="J49" i="77"/>
  <c r="H82" i="75"/>
  <c r="H84" i="75" s="1"/>
  <c r="J29" i="74"/>
  <c r="K29" i="74" s="1"/>
  <c r="B35" i="74" s="1"/>
  <c r="E35" i="74" s="1"/>
  <c r="K51" i="77" l="1"/>
  <c r="D16" i="80" s="1"/>
  <c r="H85" i="75"/>
  <c r="H86" i="75" s="1"/>
  <c r="G85" i="75"/>
  <c r="G14" i="73"/>
  <c r="G87" i="62"/>
  <c r="G86" i="62"/>
  <c r="G85" i="62"/>
  <c r="G84" i="62"/>
  <c r="G83" i="62"/>
  <c r="C78" i="62"/>
  <c r="F22" i="70" s="1"/>
  <c r="I80" i="62"/>
  <c r="I81" i="62" s="1"/>
  <c r="C79" i="62" l="1"/>
  <c r="C80" i="62" s="1"/>
  <c r="B81" i="62" s="1"/>
  <c r="F15" i="81"/>
  <c r="D23" i="66"/>
  <c r="D27" i="80"/>
  <c r="G27" i="80" s="1"/>
  <c r="G16" i="80"/>
  <c r="F81" i="62" l="1"/>
  <c r="D71" i="62"/>
  <c r="H83" i="62"/>
  <c r="D17" i="62" l="1"/>
  <c r="G18" i="62" l="1"/>
  <c r="H18" i="62"/>
  <c r="G23" i="62"/>
  <c r="D31" i="62"/>
  <c r="D26" i="62"/>
  <c r="G26" i="62" l="1"/>
  <c r="H26" i="62"/>
  <c r="G31" i="62"/>
  <c r="H31" i="62"/>
  <c r="C59" i="62" l="1"/>
  <c r="D59" i="62" s="1"/>
  <c r="H14" i="73" l="1"/>
  <c r="H18" i="73" l="1"/>
  <c r="I15" i="73"/>
  <c r="I24" i="73" l="1"/>
  <c r="D20" i="86" s="1"/>
  <c r="D22" i="66"/>
  <c r="D26" i="80"/>
  <c r="G26" i="80" s="1"/>
  <c r="G25" i="73"/>
  <c r="H25" i="73"/>
  <c r="G26" i="73" s="1"/>
  <c r="H20" i="86" l="1"/>
  <c r="G20" i="86"/>
  <c r="H26" i="73"/>
  <c r="H87" i="62"/>
  <c r="H86" i="62"/>
  <c r="H85" i="62"/>
  <c r="H84" i="62"/>
  <c r="H88" i="62" l="1"/>
  <c r="D19" i="86" s="1"/>
  <c r="G19" i="86" l="1"/>
  <c r="H19" i="86"/>
  <c r="H59" i="62"/>
  <c r="H66" i="62" s="1"/>
  <c r="D16" i="86" l="1"/>
  <c r="D15" i="86"/>
  <c r="D15" i="71"/>
  <c r="H15" i="71" s="1"/>
  <c r="G67" i="62"/>
  <c r="H67" i="62"/>
  <c r="G59" i="62"/>
  <c r="H15" i="86" l="1"/>
  <c r="G15" i="86"/>
  <c r="H16" i="86"/>
  <c r="G16" i="86"/>
  <c r="H16" i="71"/>
  <c r="D23" i="86" s="1"/>
  <c r="G16" i="71"/>
  <c r="H23" i="86" l="1"/>
  <c r="G23" i="86"/>
  <c r="D20" i="66"/>
  <c r="D24" i="80"/>
  <c r="G24" i="80" s="1"/>
  <c r="G23" i="70"/>
  <c r="G16" i="70"/>
  <c r="G15" i="70"/>
  <c r="H23" i="70"/>
  <c r="H69" i="70" s="1"/>
  <c r="H16" i="70"/>
  <c r="H15" i="70"/>
  <c r="H17" i="70" l="1"/>
  <c r="F13" i="63" l="1"/>
  <c r="G70" i="70" l="1"/>
  <c r="G13" i="63"/>
  <c r="G14" i="63" s="1"/>
  <c r="G15" i="63" l="1"/>
  <c r="G17" i="63" s="1"/>
  <c r="H70" i="70"/>
  <c r="G71" i="70" s="1"/>
  <c r="G15" i="71"/>
  <c r="D72" i="62"/>
  <c r="G72" i="62" s="1"/>
  <c r="H72" i="62" s="1"/>
  <c r="D10" i="86" l="1"/>
  <c r="D12" i="80"/>
  <c r="D19" i="80" s="1"/>
  <c r="H75" i="62"/>
  <c r="D11" i="66"/>
  <c r="D16" i="66" s="1"/>
  <c r="D26" i="66" s="1"/>
  <c r="D35" i="66" s="1"/>
  <c r="H71" i="70"/>
  <c r="G12" i="80" l="1"/>
  <c r="G19" i="80" s="1"/>
  <c r="H102" i="62"/>
  <c r="D18" i="86"/>
  <c r="I14" i="85"/>
  <c r="E14" i="85" s="1"/>
  <c r="H89" i="62"/>
  <c r="D21" i="80" s="1"/>
  <c r="G10" i="86"/>
  <c r="H10" i="86"/>
  <c r="H73" i="70"/>
  <c r="H72" i="70"/>
  <c r="G73" i="70"/>
  <c r="A35" i="66"/>
  <c r="G72" i="70"/>
  <c r="H74" i="70" l="1"/>
  <c r="D21" i="86" s="1"/>
  <c r="D24" i="86" s="1"/>
  <c r="D18" i="66"/>
  <c r="E15" i="85"/>
  <c r="F15" i="85"/>
  <c r="F18" i="85" s="1"/>
  <c r="D30" i="80" s="1"/>
  <c r="G30" i="80" s="1"/>
  <c r="G18" i="86"/>
  <c r="H18" i="86"/>
  <c r="C15" i="72"/>
  <c r="G74" i="70"/>
  <c r="G21" i="80"/>
  <c r="H21" i="86" l="1"/>
  <c r="G21" i="86"/>
  <c r="H24" i="86"/>
  <c r="C37" i="86" s="1"/>
  <c r="D22" i="80"/>
  <c r="D19" i="66"/>
  <c r="D37" i="86" l="1"/>
  <c r="D31" i="80" s="1"/>
  <c r="G31" i="80" s="1"/>
  <c r="G22" i="80"/>
  <c r="F16" i="72"/>
  <c r="G16" i="72"/>
  <c r="B40" i="72" s="1"/>
  <c r="C36" i="72" l="1"/>
  <c r="H36" i="72" s="1"/>
  <c r="C38" i="72"/>
  <c r="H38" i="72" s="1"/>
  <c r="C34" i="72"/>
  <c r="H34" i="72" s="1"/>
  <c r="D38" i="86"/>
  <c r="D39" i="86" s="1"/>
  <c r="G17" i="72" l="1"/>
  <c r="D21" i="66" s="1"/>
  <c r="F17" i="72"/>
  <c r="D25" i="80" l="1"/>
  <c r="D29" i="80" s="1"/>
  <c r="D32" i="80" s="1"/>
  <c r="G25" i="80"/>
  <c r="G29" i="80" s="1"/>
  <c r="G32" i="80" s="1"/>
  <c r="D24" i="66"/>
  <c r="D25" i="66" s="1"/>
  <c r="A36" i="66"/>
  <c r="D36" i="66"/>
  <c r="D38" i="66" s="1"/>
  <c r="D39" i="66" s="1"/>
  <c r="D40" i="66" s="1"/>
  <c r="G34" i="80" l="1"/>
  <c r="G35" i="80" s="1"/>
  <c r="G36" i="80" s="1"/>
</calcChain>
</file>

<file path=xl/sharedStrings.xml><?xml version="1.0" encoding="utf-8"?>
<sst xmlns="http://schemas.openxmlformats.org/spreadsheetml/2006/main" count="1482" uniqueCount="766">
  <si>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</si>
  <si>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</si>
  <si>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</si>
  <si>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</si>
  <si>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</si>
  <si>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</si>
  <si>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</si>
  <si>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</si>
  <si>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</si>
  <si>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</si>
  <si>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</si>
  <si>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</si>
  <si>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</si>
  <si>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</si>
  <si>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</si>
  <si>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</si>
  <si>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</si>
  <si>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</si>
  <si>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</si>
  <si>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</si>
  <si>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</si>
  <si>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</si>
  <si>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</si>
  <si>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</si>
  <si>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</si>
  <si>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</si>
  <si>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</si>
  <si>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</si>
  <si>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</si>
  <si>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</si>
  <si>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</si>
  <si>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№ п/п</t>
  </si>
  <si>
    <t>Наименование работ</t>
  </si>
  <si>
    <t>Базовая            ст-ть</t>
  </si>
  <si>
    <t>Обоснование расчета                                        № поз. МРР 3.2.63-12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</si>
  <si>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</si>
  <si>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</si>
  <si>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</si>
  <si>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</si>
  <si>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</si>
  <si>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</si>
  <si>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</si>
  <si>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</si>
  <si>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</si>
  <si>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</si>
  <si>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</si>
  <si>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</si>
  <si>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 xml:space="preserve"> </t>
  </si>
  <si>
    <t>Приложение №</t>
  </si>
  <si>
    <t>Сводный  сметный  расчет</t>
  </si>
  <si>
    <t>Наименования  работ</t>
  </si>
  <si>
    <t>Стоимость без НДС, руб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</si>
  <si>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</si>
  <si>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</si>
  <si>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</si>
  <si>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</si>
  <si>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</si>
  <si>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</si>
  <si>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</si>
  <si>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</si>
  <si>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</si>
  <si>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Мероприятия по Пожарной безопасности</t>
  </si>
  <si>
    <t>ИТОГО по разделу ТЕПЛОВЫЕ СЕТИ</t>
  </si>
  <si>
    <t>ВСЕГО ПО СМЕТЕ В БАЗОВЫХ ЦЕНАХ</t>
  </si>
  <si>
    <t>Итого по Сводному сметному расчету  в базовых ценах</t>
  </si>
  <si>
    <t>в т.ч. изыскательские работы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</si>
  <si>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</si>
  <si>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</si>
  <si>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</si>
  <si>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</si>
  <si>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</si>
  <si>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</si>
  <si>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</si>
  <si>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</si>
  <si>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</si>
  <si>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</si>
  <si>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</si>
  <si>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</si>
  <si>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индекс пересчета</t>
  </si>
  <si>
    <t xml:space="preserve">        Категория сложности-III</t>
  </si>
  <si>
    <t xml:space="preserve">к Договору  №  </t>
  </si>
  <si>
    <t>от "______"_______________20        г.</t>
  </si>
  <si>
    <t>С М Е Т А   № 3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</si>
  <si>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</si>
  <si>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</si>
  <si>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</si>
  <si>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</si>
  <si>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</si>
  <si>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</si>
  <si>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</si>
  <si>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</si>
  <si>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</si>
  <si>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</si>
  <si>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</si>
  <si>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</si>
  <si>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</si>
  <si>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</si>
  <si>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</si>
  <si>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</si>
  <si>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</si>
  <si>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</si>
  <si>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</si>
  <si>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</si>
  <si>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Стоимость разработки проектной документации ("П") в базовых ценах 2000 г.</t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</si>
  <si>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</si>
  <si>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</si>
  <si>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</si>
  <si>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</si>
  <si>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</si>
  <si>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</si>
  <si>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</si>
  <si>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</si>
  <si>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</si>
  <si>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</si>
  <si>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</si>
  <si>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на проведение согласования от стоимости ПИР Табл.1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</si>
  <si>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</si>
  <si>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</si>
  <si>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</si>
  <si>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</si>
  <si>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Расчет массы выбросов ЗВ от стационарных и передвижных источников</t>
  </si>
  <si>
    <t>(табл.3.10.4 п.12а)  Ц(б)2000 = а,  где а=</t>
  </si>
  <si>
    <t>Передача сигнала РДП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</si>
  <si>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</si>
  <si>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</si>
  <si>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</si>
  <si>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</si>
  <si>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t>(табл.2 п.3)   Ц(б)2000 = а+b*х,  где а=</t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</si>
  <si>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</si>
  <si>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</si>
  <si>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ИТОГО: Согласно письма МП/07-5443/15 от 28.04.2015г.</t>
  </si>
  <si>
    <t xml:space="preserve">коэффициент </t>
  </si>
  <si>
    <t>ВСЕГО ПО СМЕТЕ В БАЗОВЫХ ЦЕНАХ 2001г</t>
  </si>
  <si>
    <t>Индекс пересчета из 2001 в 2000</t>
  </si>
  <si>
    <t>Количество камер</t>
  </si>
  <si>
    <t>технологическая часть 100%</t>
  </si>
  <si>
    <t>Узел управления для обслуживания шаровых кранов (ответвление) :</t>
  </si>
  <si>
    <t>строительная часть 100%</t>
  </si>
  <si>
    <t>Сборная  2,2*1,2*1,5м</t>
  </si>
  <si>
    <t>Тепловая камера сборная</t>
  </si>
  <si>
    <t>Тепловая камера монолитная</t>
  </si>
  <si>
    <t>Базовая стоимость разработки проектной документации   (табл. 3.3, п.3)</t>
  </si>
  <si>
    <t>Ссылка на локульную смету/ нормативный документ</t>
  </si>
  <si>
    <t>Смета № 2</t>
  </si>
  <si>
    <t>Смета № 3</t>
  </si>
  <si>
    <t>Смета № 4</t>
  </si>
  <si>
    <t>Смета № 5</t>
  </si>
  <si>
    <t>Смета № 6</t>
  </si>
  <si>
    <t xml:space="preserve">Глава 2, п. 2.1. Произведение к-тов (кроме Крек=1,2) не должно превышать значения 2,0. 1,1*1,75*1,15=2,214: Принять К=2 </t>
  </si>
  <si>
    <t xml:space="preserve">Интерполяция </t>
  </si>
  <si>
    <t>Ст-ть ПИР в ценах 1998 г.</t>
  </si>
  <si>
    <t>К-т с интерполяцией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</si>
  <si>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</si>
  <si>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</si>
  <si>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</si>
  <si>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</si>
  <si>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</si>
  <si>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</si>
  <si>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</si>
  <si>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</si>
  <si>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</si>
  <si>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 xml:space="preserve">свыше 3000 </t>
  </si>
  <si>
    <t>Максимально предельный индекс пересчета на изыскательские работы на 2 квартал 2016г. (Письмо Минстроя РФ № 17269-ХМ/09 от 03.06.2016г.)</t>
  </si>
  <si>
    <t>Максимально предельный индекс пересчета на проектные работы на 2 квартал 2016г. (Письмо Минстроя РФ № 17269-ХМ/09 от 03.06.2016г.)</t>
  </si>
  <si>
    <r>
      <t>Крек</t>
    </r>
    <r>
      <rPr>
        <sz val="12"/>
        <rFont val="Times New Roman"/>
        <family val="1"/>
        <charset val="204"/>
      </rPr>
      <t>.- реконструкция. (Табл.4.5.1, п.6.3)</t>
    </r>
  </si>
  <si>
    <r>
      <t xml:space="preserve">К1 </t>
    </r>
    <r>
      <rPr>
        <sz val="12"/>
        <rFont val="Times New Roman"/>
        <family val="1"/>
        <charset val="204"/>
      </rPr>
      <t>- ППУ изоляция (табл.3.10.4 прим.п.6)</t>
    </r>
  </si>
  <si>
    <r>
      <t xml:space="preserve">К ид - </t>
    </r>
    <r>
      <rPr>
        <sz val="12"/>
        <rFont val="Times New Roman"/>
        <family val="1"/>
        <charset val="204"/>
      </rPr>
      <t>коэфф.(сбор исходной информации) (табл. 5.2)</t>
    </r>
  </si>
  <si>
    <t>Тепловая камера. Строительная часть  (Табл.№3.10.5 п.3)   S=</t>
  </si>
  <si>
    <t>Ц(б)2000 = а+b*х,  где а=</t>
  </si>
  <si>
    <t>Тепловая камера. Строительная часть  (Табл.№3.10.5 п.4)   S=</t>
  </si>
  <si>
    <r>
      <t>Узел управления</t>
    </r>
    <r>
      <rPr>
        <sz val="12"/>
        <rFont val="Times New Roman"/>
        <family val="1"/>
        <charset val="204"/>
      </rPr>
      <t xml:space="preserve"> для обслуживания шаровых кранов (ответвление) (Табл.№3.10.4 п.12а)   </t>
    </r>
  </si>
  <si>
    <r>
      <t xml:space="preserve">Благоустройство, озеленение территории, малые архитектурные формы в жилой застройке (Таблица 3.2.1) до </t>
    </r>
    <r>
      <rPr>
        <b/>
        <sz val="11"/>
        <rFont val="Times New Roman"/>
        <family val="1"/>
        <charset val="204"/>
      </rPr>
      <t>0,5 га</t>
    </r>
  </si>
  <si>
    <t>Всего деревья</t>
  </si>
  <si>
    <t>Проверка категории:</t>
  </si>
  <si>
    <t>деревья</t>
  </si>
  <si>
    <t>кустарники</t>
  </si>
  <si>
    <t>условные деревья</t>
  </si>
  <si>
    <r>
      <t>S</t>
    </r>
    <r>
      <rPr>
        <b/>
        <vertAlign val="subscript"/>
        <sz val="11"/>
        <rFont val="Times New Roman"/>
        <family val="1"/>
        <charset val="204"/>
      </rPr>
      <t>обсл</t>
    </r>
    <r>
      <rPr>
        <b/>
        <sz val="11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</si>
  <si>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1"/>
        <rFont val="Times New Roman"/>
        <family val="1"/>
        <charset val="204"/>
      </rPr>
      <t>2</t>
    </r>
  </si>
  <si>
    <t>S,   га</t>
  </si>
  <si>
    <t>=</t>
  </si>
  <si>
    <r>
      <t>"</t>
    </r>
    <r>
      <rPr>
        <b/>
        <sz val="12"/>
        <rFont val="Times New Roman"/>
        <family val="1"/>
        <charset val="204"/>
      </rPr>
      <t>Мероприятия по обеспечению пожарной безопасности</t>
    </r>
    <r>
      <rPr>
        <sz val="12"/>
        <rFont val="Times New Roman"/>
        <family val="1"/>
        <charset val="204"/>
      </rPr>
      <t xml:space="preserve">" и стоимости проектирования систем </t>
    </r>
  </si>
  <si>
    <r>
      <t xml:space="preserve">осуществляемых с привлечением средств бюджета г. Москвы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МРР 3.2.79.03-16</t>
    </r>
  </si>
  <si>
    <r>
      <t xml:space="preserve">Кс. - </t>
    </r>
    <r>
      <rPr>
        <sz val="12"/>
        <rFont val="Times New Roman"/>
        <family val="1"/>
        <charset val="204"/>
      </rPr>
      <t>коэфф. на состав работ (Табл. 2.2)</t>
    </r>
  </si>
  <si>
    <r>
      <t xml:space="preserve">Ккор - </t>
    </r>
    <r>
      <rPr>
        <sz val="12"/>
        <rFont val="Times New Roman"/>
        <family val="1"/>
        <charset val="204"/>
      </rPr>
      <t>на объекты в г.Москве и г.Санкт-Петербурге (Разд. 1, п.1.8)</t>
    </r>
  </si>
  <si>
    <r>
      <t xml:space="preserve">К - </t>
    </r>
    <r>
      <rPr>
        <sz val="12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</si>
  <si>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r>
      <t xml:space="preserve">К дог - </t>
    </r>
    <r>
      <rPr>
        <sz val="12"/>
        <rFont val="Times New Roman"/>
        <family val="1"/>
        <charset val="204"/>
      </rPr>
      <t>коэффициент договорной</t>
    </r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</si>
  <si>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2"/>
        <rFont val="Times New Roman"/>
        <family val="1"/>
        <charset val="204"/>
      </rPr>
      <t xml:space="preserve"> МРР- 3.2.09.02-00</t>
    </r>
  </si>
  <si>
    <t xml:space="preserve">к Договору № </t>
  </si>
  <si>
    <t>от "      " ___________ 201__г.</t>
  </si>
  <si>
    <t>на разработку проектной документации и рабочей документации на перекладку участка…………... ПАО "МОЭК" , расположенного по адресу:
 г. Москва, 2-я Магистральная ул., д.9, стр.1.</t>
  </si>
  <si>
    <t xml:space="preserve">Разработана на основании "Методики расчета стоимости научных, нормативно-методических, проектных и других видов работ (услуг), осуществляемых с привлечением средств бюджета г. Москвы  (на основании нормируемых трудозатрат) МРР- 3.2.67.02-13" </t>
  </si>
  <si>
    <t>1. Расчет коэффициента участия исполнителей, участвующих в выполнении работ</t>
  </si>
  <si>
    <t>Наименование должностей исполнителей</t>
  </si>
  <si>
    <t>Фактическое время участия исполнителя в работе Тф (дней)</t>
  </si>
  <si>
    <t>Плановая продолжительность выполнения  работ Тп (день)</t>
  </si>
  <si>
    <t>Численность исполнителей одной квалификации Чi (чел)</t>
  </si>
  <si>
    <t>Индекс уровня средней зарплаты исполнителей работ</t>
  </si>
  <si>
    <t>Коэфф. квалификации специалистов 
Ккв(уч)= сумм (гр3:гр4*гр5*гр6)/сумм гр.5</t>
  </si>
  <si>
    <t>ГИП</t>
  </si>
  <si>
    <t>Главный специалист</t>
  </si>
  <si>
    <t>2. Расчет базовой  цены работ (услуг)</t>
  </si>
  <si>
    <t>Среднемесячная нормативная зарплата, руб.ЗПср(2000)</t>
  </si>
  <si>
    <t>Кол-во рабочих дней в месяце, дн.</t>
  </si>
  <si>
    <t>Средне-дневная зарплата,  гр.2/гр.3    руб.</t>
  </si>
  <si>
    <t>Удельный вес зарплаты в себестоимости работ %, Кз</t>
  </si>
  <si>
    <t>Рентабельность  Р (%)</t>
  </si>
  <si>
    <t xml:space="preserve">Средняя единичная выработка, руб. Вср  (гр.4х(1+гр.6)/гр.5 ) </t>
  </si>
  <si>
    <t>Продолжительность разработки, (день) Тп.</t>
  </si>
  <si>
    <t>Численность исполнителей, (чел.) Чп</t>
  </si>
  <si>
    <t>Коэфф.квалификации (участия) Ккв (уч)</t>
  </si>
  <si>
    <t>Базовая цена, руб.  (гр.7 х гр.8хгр.9 х гр.10)</t>
  </si>
  <si>
    <t>Ведущий инженер</t>
  </si>
  <si>
    <t>3. Расчет базовой  цены работ (услуг) с учетом количества зданий</t>
  </si>
  <si>
    <t>Количество зданий</t>
  </si>
  <si>
    <t>С М Е Т А  № 5</t>
  </si>
  <si>
    <t>С М Е Т А   № 6</t>
  </si>
  <si>
    <t>Смета № 1, 7</t>
  </si>
  <si>
    <t>Теплосеть (Байпас) :           L=</t>
  </si>
  <si>
    <t>Количество узлов</t>
  </si>
  <si>
    <r>
      <t>Ккор</t>
    </r>
    <r>
      <rPr>
        <sz val="12"/>
        <rFont val="Times New Roman"/>
        <family val="1"/>
        <charset val="204"/>
      </rPr>
      <t xml:space="preserve"> - проектирование байпаса (табл.3.10.4 прим. п.5)</t>
    </r>
  </si>
  <si>
    <t>Байпас. Камера, строительная часть. (табл. 3.10.5., п.3) 3,2х3,2х2,0м: Sст=</t>
  </si>
  <si>
    <t>Узел управления (технологическая часть) (Табл. 3.10.4., п. 12а)</t>
  </si>
  <si>
    <t>Максимально предельный индекс пересчета на проектные работы на 3 квартал 2016 г.(Распоряжение департамента Москвы №55-Р от 30.12.2015г.)</t>
  </si>
  <si>
    <t>осуществляемые с привлечением средств бюджета г. Москвы  МРР- 3.2.06.08-13"</t>
  </si>
  <si>
    <t>Перекладка газопровода</t>
  </si>
  <si>
    <r>
      <t xml:space="preserve">Газопровод среднего давления  </t>
    </r>
    <r>
      <rPr>
        <b/>
        <sz val="12"/>
        <rFont val="Times New Roman"/>
        <family val="1"/>
        <charset val="204"/>
      </rPr>
      <t xml:space="preserve"> Д 600.</t>
    </r>
    <r>
      <rPr>
        <sz val="12"/>
        <rFont val="Times New Roman"/>
        <family val="1"/>
        <charset val="204"/>
      </rPr>
      <t xml:space="preserve">  (Табл. 3.10.2, п.2)  L=</t>
    </r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</si>
  <si>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на давление более 0,3МПа (прим к табл..3.10.2, п.2)</t>
    </r>
  </si>
  <si>
    <t>Ц(б)2000 = а+b*х,  где  а=</t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</si>
  <si>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на прокладку ввода и по стене здания (прим к табл..3.10.2, п.5)</t>
    </r>
  </si>
  <si>
    <t xml:space="preserve">Демонтаж </t>
  </si>
  <si>
    <t>существующего газопровода</t>
  </si>
  <si>
    <t>К дем.-коэфф. демонтажа (разд.3.10., пункт.13)</t>
  </si>
  <si>
    <t>Итого по проекту перекладки газопровода в базовых ценах:</t>
  </si>
  <si>
    <t>Перекладка кабельной линии</t>
  </si>
  <si>
    <t xml:space="preserve">Кабельные линии  (Табл. 3.10.6)  L=    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</si>
  <si>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(Табл.3.10.6, прим.10)</t>
    </r>
  </si>
  <si>
    <t>(Табл.№3.10.6 п.1)   Ц(б)2000 = а+b*х,  где   а</t>
  </si>
  <si>
    <r>
      <t>Ккор.-</t>
    </r>
    <r>
      <rPr>
        <sz val="12"/>
        <rFont val="Times New Roman"/>
        <family val="1"/>
        <charset val="204"/>
      </rPr>
      <t xml:space="preserve"> напряжение  (Табл.3.10.6, прим.3)</t>
    </r>
  </si>
  <si>
    <t>в</t>
  </si>
  <si>
    <t>кол-во последующих кабелей</t>
  </si>
  <si>
    <r>
      <t xml:space="preserve">Кдоп </t>
    </r>
    <r>
      <rPr>
        <sz val="12"/>
        <rFont val="Times New Roman"/>
        <family val="1"/>
        <charset val="204"/>
      </rPr>
      <t>- на каждый последующий параллельный кабель (прим. к табл.3.10.6, п.4)</t>
    </r>
  </si>
  <si>
    <t>существующей кабельной линии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</si>
  <si>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нат.п-ль (Табл.3.10.6, прим.10)</t>
    </r>
  </si>
  <si>
    <t>(Табл.№3.10.6 п.1)   Ц(б)2000 = а+b*х,  где                            а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</si>
  <si>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.-коэфф. демонтажа (разд.3.10., пункт.13)</t>
    </r>
  </si>
  <si>
    <t>Итого по проекту перекладки кабельных линий в базовых ценах:</t>
  </si>
  <si>
    <t>Перекладка уличного освещени</t>
  </si>
  <si>
    <t xml:space="preserve">Уличное освещение  (Табл. 3.10.7а)  L=    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</si>
  <si>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(Табл.3.10.7а, прим.7)</t>
    </r>
  </si>
  <si>
    <t>(Табл.№3.10.7а)   Ц(б)2000 = а+b*х,  где    а</t>
  </si>
  <si>
    <r>
      <t>К кор.-</t>
    </r>
    <r>
      <rPr>
        <sz val="12"/>
        <rFont val="Times New Roman"/>
        <family val="1"/>
        <charset val="204"/>
      </rPr>
      <t>коэфф. демонтажа (разд.3.10., пункт.13)</t>
    </r>
  </si>
  <si>
    <t>Итого по проекту наружного освещения в базовых ценах:</t>
  </si>
  <si>
    <t>Перекладка бытовой канализации</t>
  </si>
  <si>
    <r>
      <t>Бытовая канализация  Ду до 300мм</t>
    </r>
    <r>
      <rPr>
        <sz val="12"/>
        <rFont val="Times New Roman"/>
        <family val="1"/>
        <charset val="204"/>
      </rPr>
      <t xml:space="preserve"> (Табл. 3.10.3, п. 1)  L=   </t>
    </r>
  </si>
  <si>
    <r>
      <t>Ккор.</t>
    </r>
    <r>
      <rPr>
        <sz val="12"/>
        <rFont val="Times New Roman"/>
        <family val="1"/>
        <charset val="204"/>
      </rPr>
      <t xml:space="preserve"> - на трассе  6 колодцев  (таблица 3.10.3 прим. 8)</t>
    </r>
  </si>
  <si>
    <t>Демонтаж сущ. сети.   (Табл. 3.10.3, п.1)  L=</t>
  </si>
  <si>
    <r>
      <t>Ккор. -</t>
    </r>
    <r>
      <rPr>
        <sz val="12"/>
        <rFont val="Times New Roman"/>
        <family val="1"/>
        <charset val="204"/>
      </rPr>
      <t xml:space="preserve"> демонтаж  (раздел 3.10 п.13)  </t>
    </r>
  </si>
  <si>
    <t>Ц(б)2000 = а+b*х, где    а=</t>
  </si>
  <si>
    <t>Глава 3.10, п. 13. минимальная стоимость 6200 руб. Принять 6200 руб.</t>
  </si>
  <si>
    <t>Итого по проекту перекладки канализации в базовых ценах:</t>
  </si>
  <si>
    <t>Перекладка водопровода</t>
  </si>
  <si>
    <r>
      <t>Городской водопровод  Ду до 300</t>
    </r>
    <r>
      <rPr>
        <sz val="12"/>
        <rFont val="Times New Roman"/>
        <family val="1"/>
        <charset val="204"/>
      </rPr>
      <t xml:space="preserve"> (табл. 3.10.1 п.3)  L= </t>
    </r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</si>
  <si>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 на усиление сущ. водопровода (прим к табл..3.10.1, п.12)</t>
    </r>
  </si>
  <si>
    <t>Ц(б)2000 = а+b*х где:    а=</t>
  </si>
  <si>
    <r>
      <t>Узлы управления (камеры , коверы) для обслуживания задвижек  Ду до 300.</t>
    </r>
    <r>
      <rPr>
        <sz val="12"/>
        <rFont val="Times New Roman"/>
        <family val="1"/>
        <charset val="204"/>
      </rPr>
      <t xml:space="preserve">  (табл. 3.10.1 п.12)</t>
    </r>
  </si>
  <si>
    <r>
      <t>Ккор</t>
    </r>
    <r>
      <rPr>
        <sz val="12"/>
        <color indexed="9"/>
        <rFont val="Times New Roman"/>
        <family val="1"/>
        <charset val="204"/>
      </rPr>
      <t>.- реконструкция. (Табл.4.5.1, п.6.3)</t>
    </r>
  </si>
  <si>
    <t>Количество</t>
  </si>
  <si>
    <t xml:space="preserve">Байпас      </t>
  </si>
  <si>
    <r>
      <rPr>
        <b/>
        <sz val="12"/>
        <rFont val="Times New Roman"/>
        <family val="1"/>
        <charset val="204"/>
      </rPr>
      <t xml:space="preserve">Ду  до 300 мм, </t>
    </r>
    <r>
      <rPr>
        <sz val="12"/>
        <rFont val="Times New Roman"/>
        <family val="1"/>
        <charset val="204"/>
      </rPr>
      <t xml:space="preserve"> Табл. 3.10.1.п.1    L=</t>
    </r>
  </si>
  <si>
    <r>
      <t>Ккор.</t>
    </r>
    <r>
      <rPr>
        <sz val="12"/>
        <rFont val="Times New Roman"/>
        <family val="1"/>
        <charset val="204"/>
      </rPr>
      <t xml:space="preserve"> - на прокладку байпаса   (таблица 3.10.1 прим. 2)</t>
    </r>
  </si>
  <si>
    <r>
      <t>Демонтаж существующего ввода водопровода диаметром до 300</t>
    </r>
    <r>
      <rPr>
        <sz val="12"/>
        <rFont val="Times New Roman"/>
        <family val="1"/>
        <charset val="204"/>
      </rPr>
      <t xml:space="preserve">  L=  (Табл. 3.10.1, п.3)</t>
    </r>
  </si>
  <si>
    <t>Итого по проекту перекладки водопровода в базовых ценах:</t>
  </si>
  <si>
    <t>Перекладка телефонной канализации</t>
  </si>
  <si>
    <r>
      <t>Прокладка канализации связи</t>
    </r>
    <r>
      <rPr>
        <sz val="12"/>
        <rFont val="Times New Roman"/>
        <family val="1"/>
        <charset val="204"/>
      </rPr>
      <t xml:space="preserve">  (Табл. 3.10.8, п. 1.1.)  L=    </t>
    </r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</si>
  <si>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(Табл.3.10.8, прим.10)</t>
    </r>
  </si>
  <si>
    <r>
      <t>Прокладка кабеля связи</t>
    </r>
    <r>
      <rPr>
        <sz val="12"/>
        <rFont val="Times New Roman"/>
        <family val="1"/>
        <charset val="204"/>
      </rPr>
      <t xml:space="preserve">  (Табл. 3.10.8, п. 2.1.)  L=    </t>
    </r>
  </si>
  <si>
    <t>Ц(б)2000 = а+b*х,  где   а</t>
  </si>
  <si>
    <r>
      <t xml:space="preserve">Кдоп </t>
    </r>
    <r>
      <rPr>
        <sz val="12"/>
        <rFont val="Times New Roman"/>
        <family val="1"/>
        <charset val="204"/>
      </rPr>
      <t>- на каждый последующий параллельный кабель (прим. к табл.3.10.8, п.5)</t>
    </r>
  </si>
  <si>
    <t>Сущ. телефонной канализации</t>
  </si>
  <si>
    <t>(Табл.№3.10.8)   Ц(б)2000 = а+b*х,  где    а</t>
  </si>
  <si>
    <r>
      <t>Сущ. кабеля связи</t>
    </r>
    <r>
      <rPr>
        <sz val="12"/>
        <rFont val="Times New Roman"/>
        <family val="1"/>
        <charset val="204"/>
      </rPr>
      <t xml:space="preserve">  (Табл. 3.10.8, п. 2.1.)  L=    </t>
    </r>
  </si>
  <si>
    <t>Итого по проекту в базовых ценах:</t>
  </si>
  <si>
    <t>ИТОГО по смете в базовых ценах</t>
  </si>
  <si>
    <t>Сбор исходных данных для проектирования</t>
  </si>
  <si>
    <t>Стоимость основных проектных работ в базовых ценах</t>
  </si>
  <si>
    <t>Стоимость сбора исходной информации в базовых ценах</t>
  </si>
  <si>
    <r>
      <t xml:space="preserve">К ид - </t>
    </r>
    <r>
      <rPr>
        <sz val="12"/>
        <rFont val="Times New Roman"/>
        <family val="1"/>
        <charset val="204"/>
      </rPr>
      <t>коэфф.(сбор исх. информации табл 5.2. п.1)</t>
    </r>
  </si>
  <si>
    <t xml:space="preserve">Всего по смете </t>
  </si>
  <si>
    <t>Смета № 8</t>
  </si>
  <si>
    <t>Перекладка сущ. коммуникаций</t>
  </si>
  <si>
    <t>Предпроектные работы по обследованию</t>
  </si>
  <si>
    <r>
      <t xml:space="preserve">Обследование </t>
    </r>
    <r>
      <rPr>
        <b/>
        <sz val="11"/>
        <rFont val="Times New Roman"/>
        <family val="1"/>
        <charset val="204"/>
      </rPr>
      <t>ввода/вывода теплосети в подвале здания</t>
    </r>
    <r>
      <rPr>
        <sz val="11"/>
        <rFont val="Times New Roman"/>
        <family val="1"/>
        <charset val="204"/>
      </rPr>
      <t>, фотофиксация, обмеры, составлеие схем, чертежей. (один подвал)</t>
    </r>
  </si>
  <si>
    <t>Прейскурант, п.1</t>
  </si>
  <si>
    <r>
      <t xml:space="preserve">Обследование </t>
    </r>
    <r>
      <rPr>
        <b/>
        <sz val="11"/>
        <rFont val="Times New Roman"/>
        <family val="1"/>
        <charset val="204"/>
      </rPr>
      <t>камеры</t>
    </r>
    <r>
      <rPr>
        <sz val="11"/>
        <rFont val="Times New Roman"/>
        <family val="1"/>
        <charset val="204"/>
      </rPr>
      <t xml:space="preserve"> теплосети, фотофиксация, обмеры, составлеие схем, чертежей. (одна камера)</t>
    </r>
  </si>
  <si>
    <t>Прейскурант, п.2</t>
  </si>
  <si>
    <r>
      <t xml:space="preserve">Обследование </t>
    </r>
    <r>
      <rPr>
        <b/>
        <sz val="11"/>
        <rFont val="Times New Roman"/>
        <family val="1"/>
        <charset val="204"/>
      </rPr>
      <t>ввода/вывода теплосети в ЦТП</t>
    </r>
    <r>
      <rPr>
        <sz val="11"/>
        <rFont val="Times New Roman"/>
        <family val="1"/>
        <charset val="204"/>
      </rPr>
      <t>, фотофиксация, обмеры, составлеие схем, чертежей. (один ЦТП (ИТП))</t>
    </r>
  </si>
  <si>
    <t>Прейскурант, п.3</t>
  </si>
  <si>
    <r>
      <t xml:space="preserve">Обследование </t>
    </r>
    <r>
      <rPr>
        <b/>
        <sz val="11"/>
        <rFont val="Times New Roman"/>
        <family val="1"/>
        <charset val="204"/>
      </rPr>
      <t>транзитной теплосети</t>
    </r>
    <r>
      <rPr>
        <sz val="11"/>
        <rFont val="Times New Roman"/>
        <family val="1"/>
        <charset val="204"/>
      </rPr>
      <t xml:space="preserve"> в подвале здания, фотофиксация, обмеры, составлеие схем, чертежей. (один подвал)</t>
    </r>
  </si>
  <si>
    <t>Прейскурант, п.4</t>
  </si>
  <si>
    <r>
      <t xml:space="preserve">Обследование транзитной теплосети  (L до 100м) </t>
    </r>
    <r>
      <rPr>
        <b/>
        <sz val="11"/>
        <rFont val="Times New Roman"/>
        <family val="1"/>
        <charset val="204"/>
      </rPr>
      <t>в коллекторе</t>
    </r>
    <r>
      <rPr>
        <sz val="11"/>
        <rFont val="Times New Roman"/>
        <family val="1"/>
        <charset val="204"/>
      </rPr>
      <t xml:space="preserve"> фотофиксация, обмеры, составлеие схем, чертежей. (Один коллектор)</t>
    </r>
  </si>
  <si>
    <t>Прейскурант, п.6</t>
  </si>
  <si>
    <r>
      <t xml:space="preserve">Обследование </t>
    </r>
    <r>
      <rPr>
        <b/>
        <sz val="11"/>
        <rFont val="Times New Roman"/>
        <family val="1"/>
        <charset val="204"/>
      </rPr>
      <t>наружного байпаса</t>
    </r>
    <r>
      <rPr>
        <sz val="11"/>
        <rFont val="Times New Roman"/>
        <family val="1"/>
        <charset val="204"/>
      </rPr>
      <t xml:space="preserve"> теплосети (Lдо 100м), фотофиксация, обмеры, составлеие схем, чертежей.</t>
    </r>
  </si>
  <si>
    <t>Прейскурант, п.8</t>
  </si>
  <si>
    <t>Итого по предпроектным работам по обследованию</t>
  </si>
  <si>
    <t>Прейскурант на работы ( услуги ) по предпроектной подготовке, выполняемые ОАО "МОЭК-Проект"  (Приложение к распоряжению ОАО "МОЭК"  № Р-76/12 от 07.03.2012 г.)</t>
  </si>
  <si>
    <t>Раздел: Инженерно-экологические изыскания</t>
  </si>
  <si>
    <t>Итого по Разделу  в базовых ценах :</t>
  </si>
  <si>
    <t>Смета составлена на основании: Сборник базовых цен на  работы по обследованию и мониторингу технического состояния строительных конструкций и инженерного оборудования зданий и сооружений, в том числе сооружений метрополитена , попадающих в зону влияния строительных объектов, осуществляемые с привлечением средств  бюджета города Москвы                                                                                                                                                                                                                                                                                                                                            МРР-3.2.05.07-15</t>
  </si>
  <si>
    <t>Наименование</t>
  </si>
  <si>
    <t>Обоснование</t>
  </si>
  <si>
    <t>Сумма</t>
  </si>
  <si>
    <t xml:space="preserve">Обследуемое здание по адресу: </t>
  </si>
  <si>
    <t>г.Москва, Сторожевая ул., д.18 (пристройка)</t>
  </si>
  <si>
    <t>1: Обмерные и обследовательские работы</t>
  </si>
  <si>
    <t>Высота, м</t>
  </si>
  <si>
    <t>Строительный объем,м куб</t>
  </si>
  <si>
    <t>Обследуемый объем, м куб</t>
  </si>
  <si>
    <t>Категория сложности здания</t>
  </si>
  <si>
    <t xml:space="preserve"> т.2.1, п.2</t>
  </si>
  <si>
    <t>1. Обмерно-обследовательские работы</t>
  </si>
  <si>
    <t>Коэффициенты</t>
  </si>
  <si>
    <t>Неблагоприятный период года</t>
  </si>
  <si>
    <t>т.2.2,п.3г</t>
  </si>
  <si>
    <t xml:space="preserve">обследуемые конструкции расположены на высоте 2 и более м </t>
  </si>
  <si>
    <t>т.2.2,п.3в</t>
  </si>
  <si>
    <t xml:space="preserve">Работы проводятся внутри эксплуатируемых зданий </t>
  </si>
  <si>
    <t>т.2.2,п.3д</t>
  </si>
  <si>
    <t>Здание с малым строительным  объемом</t>
  </si>
  <si>
    <t>т.2.2,п.5(а)</t>
  </si>
  <si>
    <t>с использованием чертежей</t>
  </si>
  <si>
    <t>т.2.2 п.8</t>
  </si>
  <si>
    <t>Общий коэффициент</t>
  </si>
  <si>
    <t>(произведение)</t>
  </si>
  <si>
    <t>Категория сложности работ</t>
  </si>
  <si>
    <t>т.4.2</t>
  </si>
  <si>
    <t>Удельный вес видов работ</t>
  </si>
  <si>
    <t>обследование фундаментов в открытых шурфах</t>
  </si>
  <si>
    <t>т.4.1. п.1</t>
  </si>
  <si>
    <t>обследование с составлением разрезов</t>
  </si>
  <si>
    <t>т.4.1. п.2.1</t>
  </si>
  <si>
    <t>обследование с составлением фасадов</t>
  </si>
  <si>
    <t>т.4.1. п.2.2</t>
  </si>
  <si>
    <t>сверка с натурой плана этажа с нанесением обследовательских выработок.</t>
  </si>
  <si>
    <t>т.4.1. п.3.1, 3.2, 3.3</t>
  </si>
  <si>
    <t>обследование перекрытий</t>
  </si>
  <si>
    <t>т.4.1. п.4.</t>
  </si>
  <si>
    <t>обследование планов стропил</t>
  </si>
  <si>
    <t>т.4.1. п.5</t>
  </si>
  <si>
    <t>обследование лестниц</t>
  </si>
  <si>
    <t>т.4.1. п.6</t>
  </si>
  <si>
    <r>
      <t xml:space="preserve">обследование узлов </t>
    </r>
    <r>
      <rPr>
        <sz val="12"/>
        <color indexed="10"/>
        <rFont val="Times New Roman"/>
        <family val="1"/>
        <charset val="204"/>
      </rPr>
      <t>вскрытых</t>
    </r>
    <r>
      <rPr>
        <sz val="12"/>
        <color indexed="63"/>
        <rFont val="Times New Roman"/>
        <family val="1"/>
        <charset val="204"/>
      </rPr>
      <t xml:space="preserve"> строительных конструкций</t>
    </r>
  </si>
  <si>
    <t>т.4.1. п.7</t>
  </si>
  <si>
    <t>по МРР</t>
  </si>
  <si>
    <t>исследование поверхности  стен</t>
  </si>
  <si>
    <t>т.4.1. п.8</t>
  </si>
  <si>
    <t>обследование элементов стропил</t>
  </si>
  <si>
    <t>т.4.1. п.9</t>
  </si>
  <si>
    <t>(сумма)</t>
  </si>
  <si>
    <t>Стоимость на 100 м куб</t>
  </si>
  <si>
    <t>т.4.3</t>
  </si>
  <si>
    <t>Доставка оборудования, инструментов и т.п.</t>
  </si>
  <si>
    <t>Примечание к т.4.3. п. 2</t>
  </si>
  <si>
    <t>Всего по обмерно-обследовательским работам:</t>
  </si>
  <si>
    <t>2. Инженерно-конструкторские работы</t>
  </si>
  <si>
    <t>работы проводятся внутри эксплуатируемых зданий</t>
  </si>
  <si>
    <t>без расчетов</t>
  </si>
  <si>
    <t xml:space="preserve">р.1 т.2 п. 9 </t>
  </si>
  <si>
    <t>т.4.5</t>
  </si>
  <si>
    <t>изучение имеющейся технической документации по объекту</t>
  </si>
  <si>
    <t xml:space="preserve"> т.4.4 п.1</t>
  </si>
  <si>
    <t xml:space="preserve"> т.4.4 п.2</t>
  </si>
  <si>
    <t>стены,фасады, внутренние опоры и перегородки</t>
  </si>
  <si>
    <t xml:space="preserve"> т.4.4,п.3</t>
  </si>
  <si>
    <t>перекрытия</t>
  </si>
  <si>
    <t xml:space="preserve"> т.4.4 п.4</t>
  </si>
  <si>
    <t>лестницы</t>
  </si>
  <si>
    <t xml:space="preserve"> т.4.4 п.5</t>
  </si>
  <si>
    <t>фермы и стропила</t>
  </si>
  <si>
    <t xml:space="preserve"> т.4.4 п.6</t>
  </si>
  <si>
    <t>кровля</t>
  </si>
  <si>
    <t xml:space="preserve"> т.4.4 п.7</t>
  </si>
  <si>
    <t>Стоимость на 100 м куб.</t>
  </si>
  <si>
    <t>т.4.6</t>
  </si>
  <si>
    <t>с коэффициентом, при высоте более 30м</t>
  </si>
  <si>
    <t>р.4 т.6</t>
  </si>
  <si>
    <t>Всего по инженерно-конструкторским работам:</t>
  </si>
  <si>
    <t>3. Другие работы:</t>
  </si>
  <si>
    <t xml:space="preserve">Фотографирование строительных </t>
  </si>
  <si>
    <t xml:space="preserve"> т.4.8 п.11</t>
  </si>
  <si>
    <t>фото</t>
  </si>
  <si>
    <t>конструкций</t>
  </si>
  <si>
    <t>цена:</t>
  </si>
  <si>
    <t>всего:</t>
  </si>
  <si>
    <t>Размножение и брошюровка отчетов</t>
  </si>
  <si>
    <t xml:space="preserve"> т.4.8,п.10</t>
  </si>
  <si>
    <t>экз.</t>
  </si>
  <si>
    <t>Отбивка штукатурки для обследования деревянных,</t>
  </si>
  <si>
    <t>т.4.8,п.10г</t>
  </si>
  <si>
    <t>одно</t>
  </si>
  <si>
    <t>каменных, металлических и железобетонных конструкций.</t>
  </si>
  <si>
    <t>Примечание
 к т.4.8, К=1,15</t>
  </si>
  <si>
    <t>Определение прочности бетона, кирпича  в готовых  строительных конструкциях ультрозвуковым методом</t>
  </si>
  <si>
    <t>т.4.7.п.1</t>
  </si>
  <si>
    <t xml:space="preserve">одно </t>
  </si>
  <si>
    <t>Примечание
 к т.4.7, К=1,15</t>
  </si>
  <si>
    <t>место</t>
  </si>
  <si>
    <t>с учетом общ коэф</t>
  </si>
  <si>
    <t xml:space="preserve">Определение армирования строительных конструкций магнитным </t>
  </si>
  <si>
    <t>т.4.7.п.4</t>
  </si>
  <si>
    <t>прибором с изготовлением чертежей</t>
  </si>
  <si>
    <t>сечение</t>
  </si>
  <si>
    <t>Примечание
 к т.4.7</t>
  </si>
  <si>
    <t>Определение прочности бетона, кирпича  в готовых  строительных конструкциях ударно-импульсивным  методом(молотком Шмита)</t>
  </si>
  <si>
    <t>т.4.7.п.3</t>
  </si>
  <si>
    <t>одно вскрытие</t>
  </si>
  <si>
    <t>Зондирование каменной кладки, бетонных и ж/б конструкций  перфоратором ( глуб. до 0,5 м)</t>
  </si>
  <si>
    <t>т.4.8,п.8</t>
  </si>
  <si>
    <t>Вскрытие конструкций без обратной заделки</t>
  </si>
  <si>
    <t>т.4.8,п.10а</t>
  </si>
  <si>
    <t>Вскрытие бетонных конструкций, кирпичной и каменной кладки</t>
  </si>
  <si>
    <t>т.4.8,п.10б</t>
  </si>
  <si>
    <t>одно место</t>
  </si>
  <si>
    <t xml:space="preserve">Вскрытие железобетонных конструкций </t>
  </si>
  <si>
    <t>т.4.8,п.12в</t>
  </si>
  <si>
    <t>Измерение динамических параметров объекта</t>
  </si>
  <si>
    <t>т.5.10п.1</t>
  </si>
  <si>
    <t>1 период</t>
  </si>
  <si>
    <t>Составление заключения по результатам общего мониторинга технического состояния здания</t>
  </si>
  <si>
    <t>т.6.1  п.5</t>
  </si>
  <si>
    <t>заключение</t>
  </si>
  <si>
    <t>Итого по другим работам:</t>
  </si>
  <si>
    <t>Составление паспорта здания или сооружения</t>
  </si>
  <si>
    <t>табл.5.10 п.4</t>
  </si>
  <si>
    <t>паспорт</t>
  </si>
  <si>
    <t>т.2.2,п.5(е)</t>
  </si>
  <si>
    <t>Определение прочности бетона, кирпича  в готовых  строительных конструкциях ультразвуковым методом</t>
  </si>
  <si>
    <t>название из основной сметы!!!!</t>
  </si>
  <si>
    <t>Смета составлена на основании Справочника базовых цен на инженерно-геологические и инженерно-экологические изыскания для строительства, Москва, 1999 г.</t>
  </si>
  <si>
    <t>№</t>
  </si>
  <si>
    <t>Обоснование                              (СБЦ-99)</t>
  </si>
  <si>
    <t>Ед. измер.</t>
  </si>
  <si>
    <t>Объем</t>
  </si>
  <si>
    <t>Цена, руб.</t>
  </si>
  <si>
    <t>Стоимость</t>
  </si>
  <si>
    <t>Полевые работы</t>
  </si>
  <si>
    <t>1.</t>
  </si>
  <si>
    <t>табл. 27 п.3</t>
  </si>
  <si>
    <t>п.м</t>
  </si>
  <si>
    <t>свыше 5 до 10м</t>
  </si>
  <si>
    <t>Ккор - на обследование фундаментов зданий (табл 27 прим.3)</t>
  </si>
  <si>
    <t>Количество шурфов</t>
  </si>
  <si>
    <t>шт.</t>
  </si>
  <si>
    <t>табл. 27 п.2</t>
  </si>
  <si>
    <t>свыше 2,5 до 5м</t>
  </si>
  <si>
    <t>до 2,5м</t>
  </si>
  <si>
    <t>табл 32, п3</t>
  </si>
  <si>
    <t>табл 32, п1</t>
  </si>
  <si>
    <t xml:space="preserve">до 2,5 </t>
  </si>
  <si>
    <t>Предварительная разбивка местоположения выработок, кат. сложности 2</t>
  </si>
  <si>
    <t>табл.93, п.1</t>
  </si>
  <si>
    <t>точка</t>
  </si>
  <si>
    <t>Ккор - на разбивку (табл 93 прим 1)</t>
  </si>
  <si>
    <t>Плановая и высотная привязка шурфов, кат. сложности 2</t>
  </si>
  <si>
    <t>Отбор проб из массива</t>
  </si>
  <si>
    <t xml:space="preserve"> табл. 57, п.1</t>
  </si>
  <si>
    <t>проб</t>
  </si>
  <si>
    <t>Итого полевых работ</t>
  </si>
  <si>
    <t>Итого полевых работ без выплаты полевого довольствия</t>
  </si>
  <si>
    <t>О У п 14</t>
  </si>
  <si>
    <t>Итого с учетом расходов на внутренний транспорт</t>
  </si>
  <si>
    <t>табл.4, п.5</t>
  </si>
  <si>
    <t>%</t>
  </si>
  <si>
    <t>проверить! Зависит от стоимости работ</t>
  </si>
  <si>
    <t>Организация и ликвидация работ</t>
  </si>
  <si>
    <t>О У п 13</t>
  </si>
  <si>
    <t>прим 1    К=</t>
  </si>
  <si>
    <t xml:space="preserve">Итого полевых работ с прочими затратами </t>
  </si>
  <si>
    <t>Лабораторные работы:</t>
  </si>
  <si>
    <t>Сокращенный комплекс определения физико- механических свойств  грунтов.</t>
  </si>
  <si>
    <t>табл.65, п.8</t>
  </si>
  <si>
    <t>шурфы</t>
  </si>
  <si>
    <t>табл.65, п.9</t>
  </si>
  <si>
    <t>Полный комплекс определения физико- механических свойств  грунтов.</t>
  </si>
  <si>
    <t>табл.65, п.10</t>
  </si>
  <si>
    <t>Итого лабораторных работ:</t>
  </si>
  <si>
    <t>Камеральные работы:</t>
  </si>
  <si>
    <t>Сбор, изучение и систематизация материалов изысканий прошлых лет 2 кат.</t>
  </si>
  <si>
    <t>табл. 78 п.1</t>
  </si>
  <si>
    <t>Камеральная обработка материалов проходческих работ  грунтов.</t>
  </si>
  <si>
    <t>табл.82, п.1</t>
  </si>
  <si>
    <t>Ккор - на обследование фундаментов зданий (табл 82 прим.2)</t>
  </si>
  <si>
    <t>Ккор - на составление предварит геологич профилей (табл 82 прим.3)</t>
  </si>
  <si>
    <t>Камеральная обработка материалов лабораторных работ.</t>
  </si>
  <si>
    <t>табл.86, п.1</t>
  </si>
  <si>
    <t xml:space="preserve">Итого камеральных работ </t>
  </si>
  <si>
    <t>Составление отчета (2 кат)</t>
  </si>
  <si>
    <t>табл.87, п.1</t>
  </si>
  <si>
    <t>Итого камеральных работ с учетом составления отчета</t>
  </si>
  <si>
    <t>№
пп</t>
  </si>
  <si>
    <t>Ед. измерения</t>
  </si>
  <si>
    <t>Базовая цена</t>
  </si>
  <si>
    <t>Кол-во</t>
  </si>
  <si>
    <t>Стоимость, руб.</t>
  </si>
  <si>
    <t>Сбор, подготовка и анализ информации о геологическом строении, существующих и проектируемых подземных сооружениях, существующих и проектных нагрузках, деформационных параметрах и др.</t>
  </si>
  <si>
    <t>-по горным выработкам</t>
  </si>
  <si>
    <t>1 м выраб.</t>
  </si>
  <si>
    <t>-по цифровым показателям</t>
  </si>
  <si>
    <t>10 цифр. значений</t>
  </si>
  <si>
    <t>Геотехническая схематизация геологических условий и проектных решений, выбор расчетной схемы и расчетных параметров</t>
  </si>
  <si>
    <t>расчетный блок</t>
  </si>
  <si>
    <t xml:space="preserve">Расчет напряженно-деформированного состояния системы «основание-фундамент-сооружение» в условиях плоской и осесимметричной задач методом конечных элементов </t>
  </si>
  <si>
    <t xml:space="preserve">Итого </t>
  </si>
  <si>
    <t>Графическая интерпретация и анализ результатов расчетов, разработка мероприятий и предложений по предотвращению негативных изменений напряженно-деформированного состояния грунтовых массивов</t>
  </si>
  <si>
    <t>% (от п.1÷3)</t>
  </si>
  <si>
    <t>Итого ( п. 1,2)</t>
  </si>
  <si>
    <t>Оформление и выпуск отчета</t>
  </si>
  <si>
    <t>% (от п.6) на каждый экз.</t>
  </si>
  <si>
    <t>ИТОГО стоимость в базовых ценах</t>
  </si>
  <si>
    <t>Разработана на основании: "Сборник базовых цен на  работы по обследованию и мониторингу технического состояния строительных конструкций и инженерного оборудования зданий и сооружений, в том числе сооружений метрополитена , попадающих в зону влияния строительных объектов, осуществляемые с привлечением средств  бюджета города Москвы                                                                                                                                                                                                                                                                                                                                            МРР-3.2.05.07-15"</t>
  </si>
  <si>
    <t>№ частей, глав таблиц  и пунктов указаний к  разделу или главе</t>
  </si>
  <si>
    <t xml:space="preserve">Расчет стоимости </t>
  </si>
  <si>
    <t>баз.цена</t>
  </si>
  <si>
    <t>кол-во</t>
  </si>
  <si>
    <t xml:space="preserve">Здание по адресу: </t>
  </si>
  <si>
    <t>Обмерные и обследовательские работы</t>
  </si>
  <si>
    <t>ПОМЕНЯЙ НА 1КАТ РАБОТ</t>
  </si>
  <si>
    <t>Инженерно-конструкторские работы</t>
  </si>
  <si>
    <t>4</t>
  </si>
  <si>
    <t>Составление программы мониторинга технического состояния зданий и сооружений, попадающих в зону влияния строек и природно-техногенных воздействий</t>
  </si>
  <si>
    <t xml:space="preserve"> т.6.7  п.1, смета №4 п.3</t>
  </si>
  <si>
    <t>х</t>
  </si>
  <si>
    <t xml:space="preserve">количество программ= </t>
  </si>
  <si>
    <t>стоимость= 10% (п.6.4.10)</t>
  </si>
  <si>
    <t>Составление отчетных материалов</t>
  </si>
  <si>
    <t xml:space="preserve"> т.6.7  п.4, смета №4 п.3</t>
  </si>
  <si>
    <t>количество отчетов =</t>
  </si>
  <si>
    <t>стоимость=5%(п.6.4.10)</t>
  </si>
  <si>
    <t xml:space="preserve">Размножение и брошюровка технического заключения </t>
  </si>
  <si>
    <t xml:space="preserve">  т. 4.8 п.10</t>
  </si>
  <si>
    <t>Кол-во экземпляров =</t>
  </si>
  <si>
    <t>Ст-ть 1 экземпляра(руб.) =</t>
  </si>
  <si>
    <t>Инженерно-экологические изыскания</t>
  </si>
  <si>
    <t xml:space="preserve">Обследованию технического состояния строительных конструкций зданиия </t>
  </si>
  <si>
    <t xml:space="preserve"> Проходка шурфов при обследовании технического состояния фундаментов зданий</t>
  </si>
  <si>
    <t>Оценка влияния строительства на существующее здание</t>
  </si>
  <si>
    <t>Геотехнический мониторинг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</si>
  <si>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</si>
  <si>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</si>
  <si>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</si>
  <si>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</si>
  <si>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 xml:space="preserve">Итого по Сводному сметному расчету </t>
  </si>
  <si>
    <t>С М Е Т А  № 2</t>
  </si>
  <si>
    <t>С М Е Т А    №  7</t>
  </si>
  <si>
    <t>С М Е Т А  № 8</t>
  </si>
  <si>
    <t xml:space="preserve"> С М Е Т А  №9</t>
  </si>
  <si>
    <t xml:space="preserve"> С М Е Т А    №  10</t>
  </si>
  <si>
    <t xml:space="preserve">  С М Е Т А   №11</t>
  </si>
  <si>
    <t>С М Е Т А   №12</t>
  </si>
  <si>
    <t>Составил _______________________</t>
  </si>
  <si>
    <t>Индекс пересчета на проектные работы на 3 квартал 2016 г.(Распоряжение департамента Москвы №55-Р от 30.12.2015г.)</t>
  </si>
  <si>
    <t>ИТОГО ПО СМЕТЕ в базовых ценах</t>
  </si>
  <si>
    <t>Итого по смете в базовых ценах</t>
  </si>
  <si>
    <t>в т ч бесканально</t>
  </si>
  <si>
    <t>в т ч в сущ канале</t>
  </si>
  <si>
    <t xml:space="preserve">Монолитная  </t>
  </si>
  <si>
    <r>
      <t>Водовыпуск</t>
    </r>
    <r>
      <rPr>
        <sz val="12"/>
        <rFont val="Times New Roman"/>
        <family val="1"/>
        <charset val="204"/>
      </rPr>
      <t>,  Ду300  L =                                                         (табл. 3.10.3 п.1)</t>
    </r>
  </si>
  <si>
    <t>Ц(б)2000 = а+b*х, где             а=</t>
  </si>
  <si>
    <t>Водоудаление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</si>
  <si>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осуществляемых с привлечением средств бюджета города Москвы МРР-3.2.63.02-16</t>
  </si>
  <si>
    <r>
      <t xml:space="preserve">Составление заключения по составу инвентаризационного плана </t>
    </r>
    <r>
      <rPr>
        <sz val="11"/>
        <rFont val="Times New Roman"/>
        <family val="1"/>
        <charset val="204"/>
      </rPr>
      <t>(Таблица 45)</t>
    </r>
  </si>
  <si>
    <r>
      <t>Обследование участка для разработки дендроплана и составления перечетной ведомости</t>
    </r>
    <r>
      <rPr>
        <sz val="11"/>
        <rFont val="Times New Roman"/>
        <family val="1"/>
        <charset val="204"/>
      </rPr>
      <t xml:space="preserve"> (Таблица 46)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</si>
  <si>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1"/>
        <rFont val="Times New Roman"/>
        <family val="1"/>
        <charset val="204"/>
      </rPr>
      <t xml:space="preserve"> (Таблица 47)</t>
    </r>
  </si>
  <si>
    <r>
      <t xml:space="preserve">Разработка дендроплана </t>
    </r>
    <r>
      <rPr>
        <sz val="11"/>
        <rFont val="Times New Roman"/>
        <family val="1"/>
        <charset val="204"/>
      </rPr>
      <t>(Таблица 48)</t>
    </r>
  </si>
  <si>
    <r>
      <t xml:space="preserve">Составление перечетной ведомости    </t>
    </r>
    <r>
      <rPr>
        <sz val="11"/>
        <rFont val="Times New Roman"/>
        <family val="1"/>
        <charset val="204"/>
      </rPr>
      <t>(Таблица 49)</t>
    </r>
  </si>
  <si>
    <t xml:space="preserve">Проектирование индивидуальных решений в местах прохождения трубопровода через стену 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</si>
  <si>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</si>
  <si>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объект</t>
  </si>
  <si>
    <t>объект (здание и сооружение)</t>
  </si>
  <si>
    <t>1вид отхода</t>
  </si>
  <si>
    <t>Расчет объемов, описание условий хранения и утилизации промышленных отходов</t>
  </si>
  <si>
    <t xml:space="preserve"> 3.1.2 таблица 3 п.6. Проект отдельного объекта</t>
  </si>
  <si>
    <t>3.1.2 таблица 3 п.10. Проект отдельного объекта</t>
  </si>
  <si>
    <t xml:space="preserve">3.2.1 таблица 6 </t>
  </si>
  <si>
    <t>3.2.2 таблица 7 п.1</t>
  </si>
  <si>
    <t>3.2.2. таблица 7 п.2</t>
  </si>
  <si>
    <t>3.2.2. таблица 7 п.3</t>
  </si>
  <si>
    <t>3.2.4. Табл.9, п.11</t>
  </si>
  <si>
    <t>3.2.5. Табл.10, п.2</t>
  </si>
  <si>
    <t xml:space="preserve">3.2.5. таблица 11 </t>
  </si>
  <si>
    <t>элемент загрязнения</t>
  </si>
  <si>
    <t>Мероприятия по охране атмосферного воздуха</t>
  </si>
  <si>
    <t>3.2.6. таблица 14</t>
  </si>
  <si>
    <t>источник, техн процесс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</si>
  <si>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</si>
  <si>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</si>
  <si>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</si>
  <si>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</si>
  <si>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</si>
  <si>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3.2.7 таблица 17а, п.1</t>
  </si>
  <si>
    <t>1измерение в 1точке</t>
  </si>
  <si>
    <t>Выполнение расчета транспортного шума и графическая интерпретация результатов расчетов</t>
  </si>
  <si>
    <t>3.2.7 таблица 17б, п.2.1</t>
  </si>
  <si>
    <t>3.2.7. таблица 17, п.5</t>
  </si>
  <si>
    <t>3.2.7 таблица 18 п.1</t>
  </si>
  <si>
    <t>3.2.7 таблица 18 п.4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</si>
  <si>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</si>
  <si>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</si>
  <si>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</si>
  <si>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</si>
  <si>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>3.2.8 таблица 20, п.3</t>
  </si>
  <si>
    <t xml:space="preserve">Анализ результатов  и разработка рекомендаций и мероприятий </t>
  </si>
  <si>
    <t>Мероприятия по сбору, использованию, обезвреживанию, транспортировке и размещению опасных отходов</t>
  </si>
  <si>
    <t>3.2.11. таблица 23 п.2</t>
  </si>
  <si>
    <t>3.2.11. таблица 23 п.4</t>
  </si>
  <si>
    <t>Расчет объемов, условий хранения и утилизации твердых коммунальных отходов (ТКО)</t>
  </si>
  <si>
    <t>3.2.11. таблица 23 п.5 прим. п. 3</t>
  </si>
  <si>
    <t>Ккор - на кол-во отходов</t>
  </si>
  <si>
    <t>до 5 отходов</t>
  </si>
  <si>
    <t>свыше 10 отходов</t>
  </si>
  <si>
    <t>от 5 до 10 отходов</t>
  </si>
  <si>
    <t>3.2.11. таблица 23 п.1, прим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</si>
  <si>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</si>
  <si>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</si>
  <si>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</si>
  <si>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</si>
  <si>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Перекладка коммуникации</t>
  </si>
  <si>
    <t>3.2.14. Табл.26</t>
  </si>
  <si>
    <t>на каждую коммуникацию считать отдельно</t>
  </si>
  <si>
    <t>3.2.15. таблица 27, п.1</t>
  </si>
  <si>
    <t>3.2.15. таблица 27, п.2</t>
  </si>
  <si>
    <t>Разработка раздела "Мероприятия по охране окружающей среды"</t>
  </si>
  <si>
    <t>Разработка раздела "Технологический регламент"</t>
  </si>
  <si>
    <t>Технологический регламент</t>
  </si>
  <si>
    <t>Итого по смете в базовых ценах:</t>
  </si>
  <si>
    <t>Разработка проектной и рабочей документации по перекладке существующих коммуникаций</t>
  </si>
  <si>
    <t>Обследование технического состояния строительных конструкций зданиия (сооружения), расчет зоны влияния и составления программы мониторинга зданий, попадающих в зону влияния перекладки участка разводящей тепловой сети ПАО "МОЭК"</t>
  </si>
  <si>
    <t>Обследование технического состояния строительных конструкций зданиия (сооружения), попадающих в зону влияния перекладки участка разводящей тепловой сети ПАО "МОЭК"</t>
  </si>
  <si>
    <t>Выполнение работ по проходке шурфов при обследовании технического состояния фундаментов зданий, попадающих в зону влияния перекладки участка разводящей тепловой сети ПАО "МОЭК"</t>
  </si>
  <si>
    <t>Разработка раздела "Оценка влияния строительства" на существующее здание,  попадающее в зону влияния перекладки участка разводящей тепловой сети ПАО "МОЭК"</t>
  </si>
  <si>
    <t>Разработка раздела "Программа мониторинга деформационных процессов геодезическими методами. Геотехнический мониторинг" зданий, попадающих в зону влияния перекладки участка разводящей тепловой сети ПАО "МОЭК"</t>
  </si>
  <si>
    <t xml:space="preserve">Выпуск </t>
  </si>
  <si>
    <t xml:space="preserve"> Расчет стоимости работ по согласованию предпроектной и проектной документации</t>
  </si>
  <si>
    <t>Охрана окружающей среды и технологический регламент</t>
  </si>
  <si>
    <t>грунты тоже нужны</t>
  </si>
  <si>
    <t>Разработка предложений шумозащитных мероприятий</t>
  </si>
  <si>
    <t>3.2.7 таблица 18 п.7</t>
  </si>
  <si>
    <t>Расчет объемов, описание условий хранения и утилизации грунтов</t>
  </si>
  <si>
    <t>3.2.11. таблица 23 п.3</t>
  </si>
  <si>
    <r>
      <rPr>
        <b/>
        <sz val="12"/>
        <color theme="0"/>
        <rFont val="Times New Roman"/>
        <family val="1"/>
        <charset val="204"/>
      </rPr>
      <t>Ккор.</t>
    </r>
    <r>
      <rPr>
        <sz val="12"/>
        <color theme="0"/>
        <rFont val="Times New Roman"/>
        <family val="1"/>
        <charset val="204"/>
      </rPr>
      <t xml:space="preserve"> - надземная (Табл. 3.10.4, прим.5)</t>
    </r>
  </si>
  <si>
    <r>
      <rPr>
        <b/>
        <sz val="12"/>
        <color theme="0"/>
        <rFont val="Times New Roman"/>
        <family val="1"/>
        <charset val="204"/>
      </rPr>
      <t xml:space="preserve">Ккор. </t>
    </r>
    <r>
      <rPr>
        <sz val="12"/>
        <color theme="0"/>
        <rFont val="Times New Roman"/>
        <family val="1"/>
        <charset val="204"/>
      </rPr>
      <t>- вид прокладки (Табл. 3.10.4, прим.9; )</t>
    </r>
  </si>
  <si>
    <t>Расчет объемов, описание условий хранения, утилизации и переработки строительных отходов</t>
  </si>
  <si>
    <t>Смета № 12</t>
  </si>
  <si>
    <t>Смета № 9</t>
  </si>
  <si>
    <t>Смета № 10</t>
  </si>
  <si>
    <t>Смета № 11</t>
  </si>
  <si>
    <t>Смета № 7</t>
  </si>
  <si>
    <t>Смета № 1</t>
  </si>
  <si>
    <t xml:space="preserve"> млн.</t>
  </si>
  <si>
    <t>% от ПИР</t>
  </si>
  <si>
    <t>менее</t>
  </si>
  <si>
    <t>млн</t>
  </si>
  <si>
    <t>более 10</t>
  </si>
  <si>
    <t>Подготовка проектной и рабочей документации на бумажном носителе за каждый экземпляр сверх четырех экземпляров.</t>
  </si>
  <si>
    <t>Количество экземпляров</t>
  </si>
  <si>
    <t xml:space="preserve">3. Расчет базовой  цены работ (услуг) с учетом количества дополнительных комплектов проектной и рабочей документации </t>
  </si>
  <si>
    <t>Раздел 6. п.6.5.</t>
  </si>
  <si>
    <r>
      <t>Расчет объемов, описание условий хранения, утилизации и переработки</t>
    </r>
    <r>
      <rPr>
        <sz val="12"/>
        <color rgb="FFFF0000"/>
        <rFont val="Times New Roman"/>
        <family val="1"/>
        <charset val="204"/>
      </rPr>
      <t xml:space="preserve"> строительных </t>
    </r>
    <r>
      <rPr>
        <sz val="12"/>
        <rFont val="Times New Roman"/>
        <family val="1"/>
        <charset val="204"/>
      </rPr>
      <t>отходов</t>
    </r>
  </si>
  <si>
    <t>Смета № 13</t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</si>
  <si>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color rgb="FFFF0000"/>
        <rFont val="Times New Roman"/>
        <family val="1"/>
        <charset val="204"/>
      </rPr>
      <t xml:space="preserve"> 
МРР-3.2.63.02-16</t>
    </r>
  </si>
  <si>
    <t>Итого (*)</t>
  </si>
  <si>
    <t>С М Е Т А  № 13</t>
  </si>
  <si>
    <t>*  -   в базовой цене учтены затраты в соответствие с  общими положиниями   МРР-3.2.06.08-13,   п.1.9</t>
  </si>
  <si>
    <r>
      <t xml:space="preserve">Расчет объемов, описание условий хранения, утилизации и переработки </t>
    </r>
    <r>
      <rPr>
        <sz val="12"/>
        <color rgb="FFFF0000"/>
        <rFont val="Times New Roman"/>
        <family val="1"/>
        <charset val="204"/>
      </rPr>
      <t>строительных</t>
    </r>
    <r>
      <rPr>
        <sz val="12"/>
        <rFont val="Times New Roman"/>
        <family val="1"/>
        <charset val="204"/>
      </rPr>
      <t xml:space="preserve"> отходов</t>
    </r>
  </si>
  <si>
    <r>
      <rPr>
        <b/>
        <sz val="12"/>
        <color rgb="FFFF0000"/>
        <rFont val="Times New Roman"/>
        <family val="1"/>
        <charset val="204"/>
      </rPr>
      <t>К кор.</t>
    </r>
    <r>
      <rPr>
        <sz val="12"/>
        <color rgb="FFFF0000"/>
        <rFont val="Times New Roman"/>
        <family val="1"/>
        <charset val="204"/>
      </rPr>
      <t>-коэфф.  на усиление сущ. газопровода (прим к табл..3.10.2, п.8)</t>
    </r>
  </si>
  <si>
    <t>Сводный   расчет</t>
  </si>
  <si>
    <t>ПОМЕНЯТЬ ТАБЛ НА 33</t>
  </si>
  <si>
    <t>Т.33 п.1</t>
  </si>
  <si>
    <t>Т..33 п.2</t>
  </si>
  <si>
    <t>Т.33 п.3</t>
  </si>
  <si>
    <t xml:space="preserve"> Т.33 п.6</t>
  </si>
  <si>
    <t>Т.33 п.9</t>
  </si>
  <si>
    <t>Т.33 п.10</t>
  </si>
  <si>
    <t>Ц(б)2001</t>
  </si>
  <si>
    <t xml:space="preserve">на  выполнение инженерно - геодезических изысканий </t>
  </si>
  <si>
    <t xml:space="preserve">на  выполнение инженерно - геологических изысканий </t>
  </si>
  <si>
    <t>Основание: ТЗ</t>
  </si>
  <si>
    <t>Инженерно-геологические изыскания</t>
  </si>
  <si>
    <t xml:space="preserve">Смета № </t>
  </si>
  <si>
    <t>С М Е Т А  №</t>
  </si>
  <si>
    <t>Инженерно-геодезические изыскания</t>
  </si>
  <si>
    <t>Теплосеть: прокладка в ППУ-изоляции:    L=</t>
  </si>
  <si>
    <r>
      <t>Ккор.</t>
    </r>
    <r>
      <rPr>
        <sz val="12"/>
        <color theme="0"/>
        <rFont val="Times New Roman"/>
        <family val="1"/>
        <charset val="204"/>
      </rPr>
      <t xml:space="preserve"> - для каждых последующих 2-х тр-дов. (Табл. 3.10.4 прим.3)</t>
    </r>
  </si>
  <si>
    <r>
      <t xml:space="preserve">К3 </t>
    </r>
    <r>
      <rPr>
        <sz val="12"/>
        <color theme="0"/>
        <rFont val="Times New Roman"/>
        <family val="1"/>
        <charset val="204"/>
      </rPr>
      <t>- первичная сеть.</t>
    </r>
    <r>
      <rPr>
        <b/>
        <sz val="12"/>
        <color theme="0"/>
        <rFont val="Times New Roman"/>
        <family val="1"/>
        <charset val="204"/>
      </rPr>
      <t xml:space="preserve"> </t>
    </r>
    <r>
      <rPr>
        <sz val="12"/>
        <color theme="0"/>
        <rFont val="Times New Roman"/>
        <family val="1"/>
        <charset val="204"/>
      </rPr>
      <t>(табл.3.10.4 прим.п.16)</t>
    </r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</si>
  <si>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rFont val="Times New Roman"/>
        <family val="1"/>
        <charset val="204"/>
      </rPr>
      <t xml:space="preserve"> 
МРР-3.2.63.02-16</t>
    </r>
  </si>
  <si>
    <t>Индекс пересчета на изыскательские работы на 3 квартал 2016г.(Письмо Минстроя РФ №31523-ХМ/09 от 27.09.2016г)</t>
  </si>
  <si>
    <t>Индекс пересчета на проектные работы на 1 квартал 2017 г.(Распоряжение департамента Москвы №55-Р от 30.12.2015г.)</t>
  </si>
  <si>
    <t xml:space="preserve">на оказание услуг по авторскому надзору на период реконструкции  магистральных тепловых сетей  на объекте ПАО "МОЭК"        </t>
  </si>
  <si>
    <t>Обоснование стоимости ПИР</t>
  </si>
  <si>
    <t>Коэф.</t>
  </si>
  <si>
    <t xml:space="preserve"> Расчет стоимость</t>
  </si>
  <si>
    <t xml:space="preserve">Стоимость </t>
  </si>
  <si>
    <t>Расчет  составлен на основании   "Методики определения стоимости авторского надзора за строительством объектов, осуществляемых с привлечением средств бюджета г. Москвы" МРР-3.2.07.05-11 (утв. приказом Москомэкспертизы от 08.09.2011г. №33)</t>
  </si>
  <si>
    <t>Со ан.пл.(Б)=Спр(Б) * α ан * Ксл</t>
  </si>
  <si>
    <r>
      <t>Спр(Б)</t>
    </r>
    <r>
      <rPr>
        <sz val="11"/>
        <rFont val="Times New Roman"/>
        <family val="1"/>
        <charset val="204"/>
      </rPr>
      <t>-базовая стоимость проектных работ, определяемая на основании "Сборника базовых цен на проектные работы для строительства осуществляемые с привлечением средств бюджета города Москвы  МРР- 3.2.06.08-13"</t>
    </r>
  </si>
  <si>
    <t>Сумма ПИР в базовых ценах</t>
  </si>
  <si>
    <r>
      <t>α</t>
    </r>
    <r>
      <rPr>
        <sz val="11"/>
        <rFont val="Times New Roman"/>
        <family val="1"/>
        <charset val="204"/>
      </rPr>
      <t>-единый норматив стоимости основных проектных работ по ведению авторского надзора за строительством (реконструкцией) объектов в городе Москве, выраженный в доле от величины базовой стоимости проектных работ (п.2.1)</t>
    </r>
  </si>
  <si>
    <r>
      <t>Ксл-</t>
    </r>
    <r>
      <rPr>
        <sz val="11"/>
        <rFont val="Times New Roman"/>
        <family val="1"/>
        <charset val="204"/>
      </rPr>
      <t>коэффициент,учитывающий степень сложности ведения авторского надзора за строительством (реконструкцией) объекта ( п. 2.2)</t>
    </r>
  </si>
  <si>
    <r>
      <t>К инф</t>
    </r>
    <r>
      <rPr>
        <sz val="11"/>
        <rFont val="Times New Roman"/>
        <family val="1"/>
        <charset val="204"/>
      </rPr>
      <t xml:space="preserve">-коэффициент пересчета базовой стоимости проектных работ на </t>
    </r>
    <r>
      <rPr>
        <b/>
        <sz val="11"/>
        <rFont val="Times New Roman"/>
        <family val="1"/>
        <charset val="204"/>
      </rPr>
      <t>4кв 2016г.</t>
    </r>
    <r>
      <rPr>
        <sz val="11"/>
        <rFont val="Times New Roman"/>
        <family val="1"/>
        <charset val="204"/>
      </rPr>
      <t xml:space="preserve"> (Распоряжение ДЭПР № 55-Р от 30 декабря 2015  г.)</t>
    </r>
  </si>
  <si>
    <t>НДС</t>
  </si>
  <si>
    <t>17197,41*0,18</t>
  </si>
  <si>
    <t>ИТОГО с НДС (руб)</t>
  </si>
  <si>
    <t>Авторский надзор</t>
  </si>
  <si>
    <t>Стоимость разработки стадии "П" (МРР 3.2.06.08-13 табл.2.1)</t>
  </si>
  <si>
    <t>руб.</t>
  </si>
  <si>
    <t xml:space="preserve">НДС, 18%  </t>
  </si>
  <si>
    <t xml:space="preserve">Итого с НДС  </t>
  </si>
  <si>
    <t>Взять из табл.</t>
  </si>
  <si>
    <t>То же в млн.руб.</t>
  </si>
  <si>
    <t>Ст-ть проекта, млн.</t>
  </si>
  <si>
    <t>от 0 до  0,15</t>
  </si>
  <si>
    <t>более</t>
  </si>
  <si>
    <t>Проведение государственной экспертизы</t>
  </si>
  <si>
    <t>Р А С Ч Е Т</t>
  </si>
  <si>
    <t>размера платы за проведение государственной экспертизы</t>
  </si>
  <si>
    <t xml:space="preserve">по Сводному сметному расчету </t>
  </si>
  <si>
    <t>Перечень выпоняемых работ</t>
  </si>
  <si>
    <t>Ссылка на №№ смет</t>
  </si>
  <si>
    <t>Стоимость работ в базовых ценах по ССР, руб</t>
  </si>
  <si>
    <t xml:space="preserve">К пересчета </t>
  </si>
  <si>
    <t>Обоснование К пересчета</t>
  </si>
  <si>
    <t>Базовая стоимость  Спд  ,  Сиж,    руб.</t>
  </si>
  <si>
    <t>Инженерно-геологические изыскания, инженерно-экологические изыскания, инженерно-геодезические изыскания</t>
  </si>
  <si>
    <t>Обследование строительных конструкций, оценка влияния, мониторинг</t>
  </si>
  <si>
    <t>6, 8</t>
  </si>
  <si>
    <t>Проходка шурфов при обследовании строительных конструкций</t>
  </si>
  <si>
    <t>Госстрой России письмо №АШ-9/10 от 04.01.2001</t>
  </si>
  <si>
    <t>Предпроектное обследование</t>
  </si>
  <si>
    <t>Сбор исходных данных 2% от п.р.</t>
  </si>
  <si>
    <t>Благоустройство</t>
  </si>
  <si>
    <t>Дендрология</t>
  </si>
  <si>
    <t>Передача сигнала на РДП</t>
  </si>
  <si>
    <t>ИТОГО</t>
  </si>
  <si>
    <t>ПОСТАНОВЛЕНИЕ от 5 марта 2007 г. N 145</t>
  </si>
  <si>
    <t>О ПОРЯДКЕ ОРГАНИЗАЦИИ И ПРОВЕДЕНИЯ ГОСУДАРСТВЕННОЙ ЭКСПЕРТИЗЫ ПРОЕКТНОЙ ДОКУМЕНТАЦИИ И РЕЗУЛЬТАТОВ ИНЖЕНЕРНЫХ ИЗЫСКАНИЙ</t>
  </si>
  <si>
    <t>п. 56. Размер платы за проведение государственной экспертизы проектной документации нежилых объектов капитального строительства и (или) результатов инженерных изысканий, выполняемых для подготовки такой проектной документации (РПнж), определяется по формуле:</t>
  </si>
  <si>
    <t xml:space="preserve">Спд </t>
  </si>
  <si>
    <t>Стоимость проектной документации в базовых ценах (по исполнительным сметам).</t>
  </si>
  <si>
    <t xml:space="preserve">Сиж </t>
  </si>
  <si>
    <t xml:space="preserve">Стоимость изготовления материалов инженерных изысканий. </t>
  </si>
  <si>
    <t>П</t>
  </si>
  <si>
    <t>Процент от стоимости проектных работ, определённый по приложению к Постановлению от 5 марта 2007 г. N 145</t>
  </si>
  <si>
    <t xml:space="preserve">Кi </t>
  </si>
  <si>
    <t>коэффициент, отражающий инфляционные процессы по сравнению с 1 января 2001 г.   К=3,73 (Постановление Правительства РФ от 07.12.2007 г. № 1330)</t>
  </si>
  <si>
    <t>СТАДИЯ П</t>
  </si>
  <si>
    <t>РПнж = (Спд  + Сиж) x П,    где</t>
  </si>
  <si>
    <t>Индекс пересчета  К=3,73 (Постановление Правительства РФ от 07.12.2007 г. № 1330)</t>
  </si>
  <si>
    <t>Справочно разработка стадии  "П"</t>
  </si>
  <si>
    <t xml:space="preserve">Реконструкция теплового ввода </t>
  </si>
  <si>
    <t xml:space="preserve">Теплосеть </t>
  </si>
  <si>
    <t xml:space="preserve">Байпас </t>
  </si>
  <si>
    <t>Сборная</t>
  </si>
  <si>
    <t>(табл.3.10.4 п.1)   Ц(б)2000 = а+b*х,  где а=</t>
  </si>
  <si>
    <t>г. Москва , ул. Мневники д.4</t>
  </si>
  <si>
    <t>2Ду50 мм</t>
  </si>
  <si>
    <t>2 Ду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</si>
</sst>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0.0000"/>
    <numFmt numFmtId="171" formatCode="#,##0.000"/>
    <numFmt numFmtId="172" formatCode="#,##0.00_р_."/>
    <numFmt numFmtId="173" formatCode="0.00;[Red]0.00"/>
    <numFmt numFmtId="174" formatCode="0;[Red]0"/>
    <numFmt numFmtId="175" formatCode="#,##0.000000"/>
    <numFmt numFmtId="176" formatCode="#,##0.00000000"/>
  </numFmts>
  <fonts count="1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10"/>
      <name val="Arial"/>
      <family val="2"/>
      <charset val="204"/>
    </font>
    <font>
      <sz val="11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6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20"/>
      <name val="Times New Roman"/>
      <family val="1"/>
      <charset val="204"/>
    </font>
    <font>
      <b/>
      <vertAlign val="subscript"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indexed="12"/>
      <name val="Times New Roman"/>
      <family val="1"/>
      <charset val="204"/>
    </font>
    <font>
      <sz val="12"/>
      <name val="Arial Cyr"/>
      <charset val="204"/>
    </font>
    <font>
      <sz val="12"/>
      <color rgb="FF0000FF"/>
      <name val="Arial Cyr"/>
      <charset val="204"/>
    </font>
    <font>
      <sz val="12"/>
      <color indexed="9"/>
      <name val="Times New Roman"/>
      <family val="1"/>
      <charset val="204"/>
    </font>
    <font>
      <sz val="9"/>
      <name val="Arial Cyr"/>
      <charset val="204"/>
    </font>
    <font>
      <sz val="12"/>
      <name val="Arial"/>
      <family val="2"/>
      <charset val="204"/>
    </font>
    <font>
      <sz val="12"/>
      <color rgb="FF0000F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name val="Helv"/>
      <charset val="204"/>
    </font>
    <font>
      <sz val="11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3"/>
      <color indexed="6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b/>
      <i/>
      <sz val="12"/>
      <color indexed="6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63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indexed="63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0"/>
      <name val="Arial Cyr"/>
      <charset val="204"/>
    </font>
    <font>
      <b/>
      <u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rgb="FFFF0000"/>
      <name val="Arial Cyr"/>
      <charset val="204"/>
    </font>
    <font>
      <b/>
      <sz val="12"/>
      <name val="Arial Cyr"/>
      <charset val="204"/>
    </font>
    <font>
      <sz val="11"/>
      <name val="Times New Roman Cyr"/>
      <charset val="204"/>
    </font>
    <font>
      <b/>
      <sz val="9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2"/>
      <color rgb="FFFFFF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sz val="12"/>
      <color rgb="FFFF0000"/>
      <name val="Helv"/>
      <charset val="204"/>
    </font>
    <font>
      <sz val="10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 CYR"/>
      <charset val="204"/>
    </font>
    <font>
      <b/>
      <sz val="10"/>
      <color indexed="17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5" tint="-0.499984740745262"/>
      <name val="Times New Roman"/>
      <family val="1"/>
      <charset val="204"/>
    </font>
    <font>
      <b/>
      <sz val="12"/>
      <color theme="5" tint="-0.49998474074526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12"/>
      </top>
      <bottom style="medium">
        <color indexed="1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6">
    <xf numFmtId="0" fontId="0" fillId="0" borderId="0"/>
    <xf numFmtId="0" fontId="9" fillId="0" borderId="0"/>
    <xf numFmtId="0" fontId="9" fillId="0" borderId="0"/>
    <xf numFmtId="0" fontId="23" fillId="0" borderId="1">
      <alignment horizontal="left" vertical="center"/>
    </xf>
    <xf numFmtId="0" fontId="23" fillId="0" borderId="2">
      <alignment horizontal="right" vertical="center"/>
    </xf>
    <xf numFmtId="0" fontId="13" fillId="0" borderId="0"/>
    <xf numFmtId="0" fontId="12" fillId="0" borderId="0"/>
    <xf numFmtId="0" fontId="13" fillId="0" borderId="0"/>
    <xf numFmtId="0" fontId="12" fillId="0" borderId="0"/>
    <xf numFmtId="0" fontId="22" fillId="0" borderId="0"/>
    <xf numFmtId="0" fontId="12" fillId="0" borderId="0"/>
    <xf numFmtId="0" fontId="8" fillId="0" borderId="0"/>
    <xf numFmtId="0" fontId="12" fillId="0" borderId="0"/>
    <xf numFmtId="0" fontId="9" fillId="0" borderId="0"/>
    <xf numFmtId="9" fontId="12" fillId="0" borderId="0" applyFont="0" applyFill="0" applyBorder="0" applyAlignment="0" applyProtection="0"/>
    <xf numFmtId="0" fontId="9" fillId="0" borderId="0"/>
    <xf numFmtId="165" fontId="13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6" fillId="0" borderId="0"/>
    <xf numFmtId="9" fontId="8" fillId="0" borderId="0" applyFont="0" applyFill="0" applyBorder="0" applyAlignment="0" applyProtection="0"/>
    <xf numFmtId="0" fontId="8" fillId="0" borderId="0"/>
    <xf numFmtId="0" fontId="5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9" fontId="58" fillId="0" borderId="0" applyFont="0" applyFill="0" applyBorder="0" applyAlignment="0" applyProtection="0"/>
    <xf numFmtId="0" fontId="66" fillId="0" borderId="0">
      <alignment horizontal="right" vertical="center"/>
    </xf>
    <xf numFmtId="0" fontId="67" fillId="0" borderId="0">
      <alignment horizontal="left" vertical="center"/>
    </xf>
    <xf numFmtId="0" fontId="68" fillId="0" borderId="0">
      <alignment horizontal="center" vertical="center"/>
    </xf>
    <xf numFmtId="0" fontId="68" fillId="0" borderId="0">
      <alignment horizontal="center" vertical="center"/>
    </xf>
    <xf numFmtId="0" fontId="68" fillId="0" borderId="0">
      <alignment horizontal="right" vertical="center"/>
    </xf>
    <xf numFmtId="0" fontId="68" fillId="0" borderId="0">
      <alignment horizontal="center" vertical="center"/>
    </xf>
    <xf numFmtId="0" fontId="68" fillId="0" borderId="0">
      <alignment horizontal="left" vertical="top"/>
    </xf>
    <xf numFmtId="0" fontId="68" fillId="0" borderId="0">
      <alignment horizontal="right" vertical="center"/>
    </xf>
    <xf numFmtId="0" fontId="68" fillId="0" borderId="0">
      <alignment horizontal="right" vertical="top"/>
    </xf>
    <xf numFmtId="0" fontId="68" fillId="0" borderId="0">
      <alignment horizontal="left" vertical="center"/>
    </xf>
    <xf numFmtId="0" fontId="68" fillId="0" borderId="0">
      <alignment horizontal="left" vertical="top"/>
    </xf>
    <xf numFmtId="0" fontId="69" fillId="0" borderId="0">
      <alignment horizontal="center" vertical="center"/>
    </xf>
    <xf numFmtId="0" fontId="68" fillId="0" borderId="0">
      <alignment horizontal="center" vertical="top"/>
    </xf>
    <xf numFmtId="0" fontId="70" fillId="0" borderId="0">
      <alignment horizontal="left" vertical="top"/>
    </xf>
    <xf numFmtId="0" fontId="68" fillId="0" borderId="0">
      <alignment horizontal="left" vertical="top"/>
    </xf>
    <xf numFmtId="0" fontId="13" fillId="0" borderId="0"/>
    <xf numFmtId="0" fontId="8" fillId="0" borderId="0"/>
    <xf numFmtId="164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164" fontId="111" fillId="0" borderId="0" applyFont="0" applyFill="0" applyBorder="0" applyAlignment="0" applyProtection="0"/>
    <xf numFmtId="0" fontId="23" fillId="0" borderId="3">
      <alignment horizontal="left" vertical="center"/>
    </xf>
    <xf numFmtId="0" fontId="23" fillId="0" borderId="3">
      <alignment horizontal="right" vertical="center"/>
    </xf>
    <xf numFmtId="0" fontId="23" fillId="0" borderId="51">
      <alignment horizontal="left" vertical="top"/>
    </xf>
    <xf numFmtId="0" fontId="23" fillId="0" borderId="29">
      <alignment horizontal="left" vertical="top"/>
    </xf>
    <xf numFmtId="0" fontId="23" fillId="0" borderId="1">
      <alignment horizontal="left" vertical="center"/>
    </xf>
    <xf numFmtId="0" fontId="23" fillId="0" borderId="2">
      <alignment horizontal="right" vertical="center"/>
    </xf>
    <xf numFmtId="0" fontId="23" fillId="0" borderId="3">
      <alignment horizontal="right" vertical="top"/>
    </xf>
    <xf numFmtId="0" fontId="23" fillId="0" borderId="3">
      <alignment horizontal="left" vertical="top"/>
    </xf>
    <xf numFmtId="0" fontId="117" fillId="0" borderId="0">
      <alignment horizontal="right" vertical="top"/>
    </xf>
    <xf numFmtId="0" fontId="117" fillId="0" borderId="0">
      <alignment horizontal="left" vertical="top"/>
    </xf>
    <xf numFmtId="0" fontId="23" fillId="0" borderId="3">
      <alignment horizontal="center" vertical="center"/>
    </xf>
    <xf numFmtId="0" fontId="118" fillId="0" borderId="3">
      <alignment horizontal="center" vertical="center"/>
    </xf>
    <xf numFmtId="0" fontId="23" fillId="0" borderId="3">
      <alignment horizontal="left" vertical="center"/>
    </xf>
  </cellStyleXfs>
  <cellXfs count="2295">
    <xf numFmtId="0" fontId="0" fillId="0" borderId="0" xfId="0"/>
    <xf numFmtId="0" fontId="10" fillId="0" borderId="0" xfId="15" applyFont="1" applyFill="1" applyBorder="1" applyAlignment="1" applyProtection="1">
      <alignment vertical="center"/>
      <protection locked="0"/>
    </xf>
    <xf numFmtId="0" fontId="10" fillId="0" borderId="0" xfId="5" applyFont="1" applyBorder="1" applyAlignment="1" applyProtection="1">
      <alignment horizontal="left" vertical="center"/>
      <protection locked="0"/>
    </xf>
    <xf numFmtId="0" fontId="10" fillId="0" borderId="0" xfId="5" applyFont="1" applyAlignment="1">
      <alignment horizontal="center" vertical="center"/>
    </xf>
    <xf numFmtId="2" fontId="10" fillId="0" borderId="0" xfId="5" applyNumberFormat="1" applyFont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15" applyFont="1" applyBorder="1" applyAlignment="1" applyProtection="1">
      <alignment vertical="center"/>
      <protection locked="0"/>
    </xf>
    <xf numFmtId="4" fontId="10" fillId="0" borderId="0" xfId="15" applyNumberFormat="1" applyFont="1" applyBorder="1" applyAlignment="1" applyProtection="1">
      <alignment vertical="center"/>
      <protection locked="0"/>
    </xf>
    <xf numFmtId="0" fontId="25" fillId="0" borderId="3" xfId="3" quotePrefix="1" applyFont="1" applyBorder="1" applyAlignment="1">
      <alignment horizontal="center" vertical="center" wrapText="1"/>
    </xf>
    <xf numFmtId="2" fontId="11" fillId="0" borderId="0" xfId="15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2" fontId="11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vertical="center"/>
      <protection locked="0"/>
    </xf>
    <xf numFmtId="2" fontId="15" fillId="0" borderId="0" xfId="13" applyNumberFormat="1" applyFont="1" applyBorder="1" applyAlignment="1" applyProtection="1">
      <alignment horizontal="center" vertical="center" wrapText="1"/>
      <protection locked="0"/>
    </xf>
    <xf numFmtId="0" fontId="15" fillId="0" borderId="0" xfId="13" applyFont="1" applyBorder="1" applyAlignment="1" applyProtection="1">
      <alignment horizontal="center" vertical="center" wrapText="1"/>
      <protection locked="0"/>
    </xf>
    <xf numFmtId="0" fontId="10" fillId="0" borderId="3" xfId="5" applyFont="1" applyBorder="1" applyAlignment="1">
      <alignment vertical="center" wrapText="1"/>
    </xf>
    <xf numFmtId="0" fontId="10" fillId="0" borderId="3" xfId="5" applyFont="1" applyBorder="1" applyAlignment="1">
      <alignment horizontal="left" vertical="center" wrapText="1"/>
    </xf>
    <xf numFmtId="0" fontId="11" fillId="0" borderId="0" xfId="13" applyFont="1" applyBorder="1" applyAlignment="1" applyProtection="1">
      <alignment vertical="center"/>
      <protection locked="0"/>
    </xf>
    <xf numFmtId="0" fontId="11" fillId="0" borderId="0" xfId="13" applyFont="1" applyBorder="1" applyAlignment="1" applyProtection="1">
      <alignment horizontal="center" vertical="center"/>
      <protection locked="0"/>
    </xf>
    <xf numFmtId="2" fontId="11" fillId="0" borderId="0" xfId="13" applyNumberFormat="1" applyFont="1" applyBorder="1" applyAlignment="1" applyProtection="1">
      <alignment horizontal="left" vertical="center"/>
      <protection locked="0"/>
    </xf>
    <xf numFmtId="0" fontId="11" fillId="0" borderId="0" xfId="15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vertical="center"/>
      <protection locked="0"/>
    </xf>
    <xf numFmtId="0" fontId="11" fillId="0" borderId="0" xfId="13" applyFont="1" applyFill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2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vertical="center" wrapText="1"/>
      <protection locked="0"/>
    </xf>
    <xf numFmtId="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15" applyFont="1" applyFill="1" applyAlignment="1">
      <alignment vertical="center"/>
    </xf>
    <xf numFmtId="0" fontId="19" fillId="0" borderId="0" xfId="15" applyFont="1" applyFill="1" applyBorder="1" applyAlignment="1" applyProtection="1">
      <alignment vertical="center"/>
      <protection locked="0"/>
    </xf>
    <xf numFmtId="4" fontId="19" fillId="0" borderId="0" xfId="15" applyNumberFormat="1" applyFont="1" applyBorder="1" applyAlignment="1" applyProtection="1">
      <alignment horizontal="center" vertical="center"/>
      <protection locked="0"/>
    </xf>
    <xf numFmtId="4" fontId="26" fillId="0" borderId="0" xfId="15" applyNumberFormat="1" applyFont="1" applyBorder="1" applyAlignment="1" applyProtection="1">
      <alignment horizontal="left" vertical="center"/>
      <protection locked="0"/>
    </xf>
    <xf numFmtId="0" fontId="20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/>
      <protection locked="0"/>
    </xf>
    <xf numFmtId="0" fontId="8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9" fillId="0" borderId="0" xfId="15" applyFont="1" applyBorder="1" applyAlignment="1" applyProtection="1">
      <alignment horizontal="right" vertical="center"/>
      <protection locked="0"/>
    </xf>
    <xf numFmtId="0" fontId="21" fillId="0" borderId="0" xfId="10" applyFont="1" applyFill="1" applyAlignment="1">
      <alignment vertical="center"/>
    </xf>
    <xf numFmtId="2" fontId="21" fillId="0" borderId="0" xfId="10" applyNumberFormat="1" applyFont="1" applyFill="1" applyAlignment="1">
      <alignment vertical="center"/>
    </xf>
    <xf numFmtId="0" fontId="21" fillId="0" borderId="0" xfId="10" applyFont="1" applyFill="1" applyAlignment="1">
      <alignment horizontal="center" vertical="center"/>
    </xf>
    <xf numFmtId="0" fontId="10" fillId="0" borderId="3" xfId="5" applyFont="1" applyBorder="1" applyAlignment="1">
      <alignment horizontal="left" vertical="center"/>
    </xf>
    <xf numFmtId="0" fontId="11" fillId="0" borderId="3" xfId="5" applyFont="1" applyBorder="1" applyAlignment="1">
      <alignment horizontal="center" vertical="center" wrapText="1"/>
    </xf>
    <xf numFmtId="0" fontId="11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 wrapText="1"/>
    </xf>
    <xf numFmtId="0" fontId="19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 wrapText="1"/>
      <protection locked="0"/>
    </xf>
    <xf numFmtId="2" fontId="33" fillId="0" borderId="0" xfId="13" applyNumberFormat="1" applyFont="1" applyFill="1" applyBorder="1" applyAlignment="1" applyProtection="1">
      <alignment horizontal="left" vertical="center"/>
      <protection locked="0"/>
    </xf>
    <xf numFmtId="4" fontId="8" fillId="0" borderId="0" xfId="10" applyNumberFormat="1" applyFont="1" applyFill="1" applyAlignment="1">
      <alignment vertical="center"/>
    </xf>
    <xf numFmtId="0" fontId="33" fillId="0" borderId="0" xfId="0" applyFont="1" applyFill="1"/>
    <xf numFmtId="0" fontId="33" fillId="0" borderId="0" xfId="0" applyFont="1" applyFill="1" applyBorder="1"/>
    <xf numFmtId="0" fontId="33" fillId="0" borderId="50" xfId="0" applyFont="1" applyFill="1" applyBorder="1" applyAlignment="1"/>
    <xf numFmtId="0" fontId="33" fillId="0" borderId="51" xfId="0" applyFont="1" applyFill="1" applyBorder="1"/>
    <xf numFmtId="4" fontId="34" fillId="0" borderId="3" xfId="0" applyNumberFormat="1" applyFont="1" applyFill="1" applyBorder="1" applyAlignment="1">
      <alignment horizontal="center"/>
    </xf>
    <xf numFmtId="0" fontId="33" fillId="0" borderId="43" xfId="0" applyFont="1" applyFill="1" applyBorder="1" applyAlignment="1">
      <alignment horizontal="center"/>
    </xf>
    <xf numFmtId="0" fontId="33" fillId="0" borderId="47" xfId="0" applyFont="1" applyFill="1" applyBorder="1"/>
    <xf numFmtId="0" fontId="34" fillId="0" borderId="0" xfId="0" applyFont="1" applyFill="1" applyAlignment="1">
      <alignment horizontal="center"/>
    </xf>
    <xf numFmtId="0" fontId="37" fillId="0" borderId="0" xfId="0" applyFont="1" applyFill="1"/>
    <xf numFmtId="0" fontId="33" fillId="0" borderId="0" xfId="0" applyFont="1" applyFill="1" applyAlignment="1">
      <alignment horizontal="center"/>
    </xf>
    <xf numFmtId="0" fontId="27" fillId="0" borderId="3" xfId="10" applyFont="1" applyFill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vertical="center"/>
      <protection locked="0"/>
    </xf>
    <xf numFmtId="168" fontId="34" fillId="0" borderId="0" xfId="0" applyNumberFormat="1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/>
      <protection locked="0"/>
    </xf>
    <xf numFmtId="168" fontId="33" fillId="0" borderId="0" xfId="0" applyNumberFormat="1" applyFont="1" applyFill="1" applyBorder="1" applyAlignment="1" applyProtection="1">
      <alignment horizontal="center" vertical="center"/>
      <protection locked="0"/>
    </xf>
    <xf numFmtId="2" fontId="33" fillId="0" borderId="0" xfId="0" applyNumberFormat="1" applyFont="1" applyFill="1" applyBorder="1" applyAlignment="1" applyProtection="1">
      <alignment vertical="center"/>
      <protection locked="0"/>
    </xf>
    <xf numFmtId="0" fontId="33" fillId="0" borderId="0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horizontal="right" vertical="center"/>
      <protection locked="0"/>
    </xf>
    <xf numFmtId="0" fontId="33" fillId="0" borderId="10" xfId="10" applyFont="1" applyFill="1" applyBorder="1" applyAlignment="1">
      <alignment horizontal="centerContinuous" vertical="center" wrapText="1"/>
    </xf>
    <xf numFmtId="4" fontId="33" fillId="0" borderId="23" xfId="0" applyNumberFormat="1" applyFont="1" applyFill="1" applyBorder="1" applyAlignment="1" applyProtection="1">
      <alignment vertical="center"/>
      <protection locked="0"/>
    </xf>
    <xf numFmtId="2" fontId="33" fillId="0" borderId="3" xfId="0" applyNumberFormat="1" applyFont="1" applyFill="1" applyBorder="1" applyAlignment="1" applyProtection="1">
      <alignment horizontal="center" vertical="center"/>
      <protection locked="0"/>
    </xf>
    <xf numFmtId="4" fontId="33" fillId="0" borderId="3" xfId="0" applyNumberFormat="1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 applyProtection="1">
      <alignment horizontal="left" vertical="center" wrapText="1"/>
      <protection locked="0"/>
    </xf>
    <xf numFmtId="0" fontId="33" fillId="0" borderId="5" xfId="0" applyFont="1" applyFill="1" applyBorder="1" applyAlignment="1" applyProtection="1">
      <alignment horizontal="left" vertical="center" wrapText="1"/>
      <protection locked="0"/>
    </xf>
    <xf numFmtId="4" fontId="33" fillId="0" borderId="7" xfId="0" applyNumberFormat="1" applyFont="1" applyFill="1" applyBorder="1" applyAlignment="1" applyProtection="1">
      <alignment vertical="center"/>
      <protection locked="0"/>
    </xf>
    <xf numFmtId="0" fontId="33" fillId="0" borderId="17" xfId="0" applyFont="1" applyFill="1" applyBorder="1" applyAlignment="1" applyProtection="1">
      <alignment vertical="center"/>
      <protection locked="0"/>
    </xf>
    <xf numFmtId="4" fontId="33" fillId="0" borderId="17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2" fontId="33" fillId="0" borderId="4" xfId="0" applyNumberFormat="1" applyFont="1" applyFill="1" applyBorder="1" applyAlignment="1" applyProtection="1">
      <alignment horizontal="center" vertical="center"/>
      <protection locked="0"/>
    </xf>
    <xf numFmtId="0" fontId="33" fillId="0" borderId="23" xfId="0" applyFont="1" applyFill="1" applyBorder="1" applyAlignment="1" applyProtection="1">
      <alignment horizontal="left" vertical="center" wrapText="1"/>
      <protection locked="0"/>
    </xf>
    <xf numFmtId="2" fontId="33" fillId="0" borderId="23" xfId="0" applyNumberFormat="1" applyFont="1" applyFill="1" applyBorder="1" applyAlignment="1" applyProtection="1">
      <alignment horizontal="center" vertical="center"/>
      <protection locked="0"/>
    </xf>
    <xf numFmtId="168" fontId="34" fillId="0" borderId="11" xfId="0" applyNumberFormat="1" applyFont="1" applyFill="1" applyBorder="1" applyAlignment="1">
      <alignment horizontal="center" vertical="center"/>
    </xf>
    <xf numFmtId="4" fontId="33" fillId="0" borderId="11" xfId="0" applyNumberFormat="1" applyFont="1" applyFill="1" applyBorder="1" applyAlignment="1" applyProtection="1">
      <alignment vertical="center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2" fontId="33" fillId="0" borderId="11" xfId="0" applyNumberFormat="1" applyFont="1" applyFill="1" applyBorder="1" applyAlignment="1" applyProtection="1">
      <alignment horizontal="center" vertical="center"/>
      <protection locked="0"/>
    </xf>
    <xf numFmtId="4" fontId="33" fillId="0" borderId="42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vertical="center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4" fontId="33" fillId="0" borderId="36" xfId="0" applyNumberFormat="1" applyFont="1" applyFill="1" applyBorder="1" applyAlignment="1" applyProtection="1">
      <alignment horizontal="center" vertical="center"/>
      <protection locked="0"/>
    </xf>
    <xf numFmtId="168" fontId="33" fillId="0" borderId="4" xfId="0" applyNumberFormat="1" applyFont="1" applyFill="1" applyBorder="1" applyAlignment="1">
      <alignment horizontal="center" vertical="center"/>
    </xf>
    <xf numFmtId="2" fontId="33" fillId="0" borderId="43" xfId="0" applyNumberFormat="1" applyFont="1" applyFill="1" applyBorder="1" applyAlignment="1" applyProtection="1">
      <alignment horizontal="center" vertical="center"/>
      <protection locked="0"/>
    </xf>
    <xf numFmtId="0" fontId="33" fillId="0" borderId="19" xfId="0" applyFont="1" applyFill="1" applyBorder="1" applyAlignment="1">
      <alignment horizontal="center" vertical="center"/>
    </xf>
    <xf numFmtId="0" fontId="33" fillId="0" borderId="5" xfId="0" applyFont="1" applyFill="1" applyBorder="1" applyAlignment="1" applyProtection="1">
      <alignment horizontal="center" vertical="center" wrapText="1"/>
      <protection locked="0"/>
    </xf>
    <xf numFmtId="4" fontId="34" fillId="0" borderId="9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36" xfId="0" applyNumberFormat="1" applyFont="1" applyFill="1" applyBorder="1" applyAlignment="1" applyProtection="1">
      <alignment horizontal="center" vertical="center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0" fontId="33" fillId="0" borderId="19" xfId="0" applyFont="1" applyFill="1" applyBorder="1" applyAlignment="1" applyProtection="1">
      <alignment vertical="center"/>
      <protection locked="0"/>
    </xf>
    <xf numFmtId="0" fontId="34" fillId="0" borderId="8" xfId="0" applyFont="1" applyFill="1" applyBorder="1" applyAlignment="1" applyProtection="1">
      <alignment vertical="center"/>
      <protection locked="0"/>
    </xf>
    <xf numFmtId="4" fontId="33" fillId="0" borderId="5" xfId="0" applyNumberFormat="1" applyFont="1" applyFill="1" applyBorder="1" applyAlignment="1" applyProtection="1">
      <alignment horizontal="center" vertical="center"/>
      <protection locked="0"/>
    </xf>
    <xf numFmtId="2" fontId="33" fillId="0" borderId="5" xfId="0" applyNumberFormat="1" applyFont="1" applyFill="1" applyBorder="1" applyAlignment="1">
      <alignment horizontal="center" vertical="center" wrapText="1"/>
    </xf>
    <xf numFmtId="0" fontId="33" fillId="0" borderId="31" xfId="1" applyFont="1" applyFill="1" applyBorder="1" applyAlignment="1" applyProtection="1">
      <alignment horizontal="center" vertical="center" wrapText="1"/>
      <protection locked="0"/>
    </xf>
    <xf numFmtId="0" fontId="33" fillId="0" borderId="15" xfId="1" applyFont="1" applyFill="1" applyBorder="1" applyAlignment="1" applyProtection="1">
      <alignment horizontal="center" vertical="center" wrapText="1"/>
      <protection locked="0"/>
    </xf>
    <xf numFmtId="0" fontId="33" fillId="0" borderId="28" xfId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2" fontId="33" fillId="0" borderId="0" xfId="0" applyNumberFormat="1" applyFont="1" applyFill="1" applyBorder="1" applyAlignment="1">
      <alignment vertical="center" wrapText="1"/>
    </xf>
    <xf numFmtId="4" fontId="34" fillId="0" borderId="33" xfId="0" applyNumberFormat="1" applyFont="1" applyFill="1" applyBorder="1" applyAlignment="1">
      <alignment horizontal="center" vertical="center"/>
    </xf>
    <xf numFmtId="0" fontId="33" fillId="0" borderId="20" xfId="15" applyFont="1" applyBorder="1" applyAlignment="1" applyProtection="1">
      <alignment horizontal="center" vertical="center"/>
      <protection locked="0"/>
    </xf>
    <xf numFmtId="4" fontId="33" fillId="2" borderId="3" xfId="11" applyNumberFormat="1" applyFont="1" applyFill="1" applyBorder="1" applyAlignment="1">
      <alignment horizontal="center" vertical="center" wrapText="1"/>
    </xf>
    <xf numFmtId="2" fontId="33" fillId="0" borderId="3" xfId="15" applyNumberFormat="1" applyFont="1" applyBorder="1" applyAlignment="1" applyProtection="1">
      <alignment horizontal="center" vertical="center" wrapText="1"/>
      <protection locked="0"/>
    </xf>
    <xf numFmtId="0" fontId="33" fillId="0" borderId="3" xfId="15" applyFont="1" applyFill="1" applyBorder="1" applyAlignment="1" applyProtection="1">
      <alignment horizontal="center" vertical="center" wrapText="1"/>
      <protection locked="0"/>
    </xf>
    <xf numFmtId="4" fontId="33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5" applyFont="1" applyFill="1" applyAlignment="1">
      <alignment vertical="center"/>
    </xf>
    <xf numFmtId="0" fontId="33" fillId="0" borderId="0" xfId="15" applyFont="1" applyFill="1" applyBorder="1" applyAlignment="1" applyProtection="1">
      <alignment vertical="center"/>
      <protection locked="0"/>
    </xf>
    <xf numFmtId="0" fontId="33" fillId="0" borderId="21" xfId="15" applyFont="1" applyBorder="1" applyAlignment="1" applyProtection="1">
      <alignment horizontal="center" vertical="center"/>
      <protection locked="0"/>
    </xf>
    <xf numFmtId="4" fontId="33" fillId="2" borderId="37" xfId="11" applyNumberFormat="1" applyFont="1" applyFill="1" applyBorder="1" applyAlignment="1">
      <alignment horizontal="center" vertical="center" wrapText="1"/>
    </xf>
    <xf numFmtId="0" fontId="33" fillId="0" borderId="19" xfId="15" applyFont="1" applyFill="1" applyBorder="1" applyAlignment="1">
      <alignment vertical="center"/>
    </xf>
    <xf numFmtId="4" fontId="34" fillId="0" borderId="26" xfId="15" applyNumberFormat="1" applyFont="1" applyFill="1" applyBorder="1" applyAlignment="1">
      <alignment horizontal="center" vertical="center"/>
    </xf>
    <xf numFmtId="0" fontId="34" fillId="0" borderId="10" xfId="0" applyFont="1" applyFill="1" applyBorder="1" applyAlignment="1" applyProtection="1">
      <alignment vertical="center"/>
      <protection locked="0"/>
    </xf>
    <xf numFmtId="2" fontId="34" fillId="0" borderId="8" xfId="0" applyNumberFormat="1" applyFont="1" applyFill="1" applyBorder="1" applyAlignment="1" applyProtection="1">
      <alignment vertical="center"/>
      <protection locked="0"/>
    </xf>
    <xf numFmtId="168" fontId="34" fillId="0" borderId="27" xfId="0" applyNumberFormat="1" applyFont="1" applyFill="1" applyBorder="1" applyAlignment="1" applyProtection="1">
      <alignment horizontal="center" vertical="center"/>
      <protection locked="0"/>
    </xf>
    <xf numFmtId="2" fontId="34" fillId="0" borderId="27" xfId="0" applyNumberFormat="1" applyFont="1" applyFill="1" applyBorder="1" applyAlignment="1" applyProtection="1">
      <alignment vertical="center"/>
      <protection locked="0"/>
    </xf>
    <xf numFmtId="0" fontId="33" fillId="0" borderId="0" xfId="15" applyFont="1" applyBorder="1" applyAlignment="1" applyProtection="1">
      <alignment vertical="center"/>
      <protection locked="0"/>
    </xf>
    <xf numFmtId="2" fontId="34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0" xfId="0" applyNumberFormat="1" applyFont="1" applyFill="1" applyBorder="1" applyAlignment="1" applyProtection="1">
      <alignment vertical="center" wrapText="1"/>
      <protection locked="0"/>
    </xf>
    <xf numFmtId="166" fontId="33" fillId="0" borderId="0" xfId="0" applyNumberFormat="1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left" vertical="center"/>
    </xf>
    <xf numFmtId="4" fontId="33" fillId="0" borderId="0" xfId="0" applyNumberFormat="1" applyFont="1" applyFill="1" applyBorder="1" applyAlignment="1">
      <alignment horizontal="center" vertical="center"/>
    </xf>
    <xf numFmtId="0" fontId="34" fillId="2" borderId="0" xfId="0" applyFont="1" applyFill="1" applyBorder="1" applyAlignment="1">
      <alignment horizontal="left" vertical="center" wrapText="1"/>
    </xf>
    <xf numFmtId="168" fontId="34" fillId="2" borderId="0" xfId="0" applyNumberFormat="1" applyFont="1" applyFill="1" applyBorder="1" applyAlignment="1">
      <alignment horizontal="center" vertical="center" wrapText="1"/>
    </xf>
    <xf numFmtId="4" fontId="34" fillId="2" borderId="0" xfId="0" applyNumberFormat="1" applyFont="1" applyFill="1" applyBorder="1" applyAlignment="1">
      <alignment horizontal="center" vertical="center" wrapText="1"/>
    </xf>
    <xf numFmtId="0" fontId="33" fillId="2" borderId="0" xfId="0" applyFont="1" applyFill="1" applyAlignment="1">
      <alignment vertical="center"/>
    </xf>
    <xf numFmtId="168" fontId="3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 applyProtection="1">
      <alignment vertical="center" wrapText="1"/>
      <protection locked="0"/>
    </xf>
    <xf numFmtId="166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right" vertical="center" wrapText="1"/>
      <protection locked="0"/>
    </xf>
    <xf numFmtId="168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168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quotePrefix="1" applyFont="1" applyFill="1" applyBorder="1" applyAlignment="1" applyProtection="1">
      <alignment horizontal="left" vertical="center" wrapText="1"/>
      <protection locked="0"/>
    </xf>
    <xf numFmtId="0" fontId="33" fillId="0" borderId="38" xfId="0" applyFont="1" applyFill="1" applyBorder="1" applyAlignment="1">
      <alignment vertical="center"/>
    </xf>
    <xf numFmtId="168" fontId="34" fillId="0" borderId="3" xfId="15" applyNumberFormat="1" applyFont="1" applyBorder="1" applyAlignment="1" applyProtection="1">
      <alignment horizontal="center" vertical="center" wrapText="1"/>
      <protection locked="0"/>
    </xf>
    <xf numFmtId="168" fontId="34" fillId="0" borderId="37" xfId="15" applyNumberFormat="1" applyFont="1" applyBorder="1" applyAlignment="1" applyProtection="1">
      <alignment horizontal="center" vertical="center" wrapText="1"/>
      <protection locked="0"/>
    </xf>
    <xf numFmtId="0" fontId="33" fillId="0" borderId="0" xfId="0" applyFont="1" applyFill="1" applyAlignment="1">
      <alignment vertical="center"/>
    </xf>
    <xf numFmtId="0" fontId="33" fillId="0" borderId="0" xfId="0" applyFont="1" applyFill="1" applyBorder="1" applyAlignment="1">
      <alignment vertical="center"/>
    </xf>
    <xf numFmtId="0" fontId="32" fillId="0" borderId="19" xfId="10" applyFont="1" applyFill="1" applyBorder="1" applyAlignment="1">
      <alignment horizontal="centerContinuous" vertical="center" wrapText="1"/>
    </xf>
    <xf numFmtId="4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5" xfId="0" applyFont="1" applyFill="1" applyBorder="1" applyAlignment="1" applyProtection="1">
      <alignment horizontal="center" vertical="center" wrapText="1"/>
      <protection locked="0"/>
    </xf>
    <xf numFmtId="2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1" fillId="0" borderId="3" xfId="5" applyFont="1" applyBorder="1" applyAlignment="1">
      <alignment horizontal="center" vertical="center" wrapText="1"/>
    </xf>
    <xf numFmtId="0" fontId="31" fillId="0" borderId="7" xfId="5" applyFont="1" applyBorder="1" applyAlignment="1">
      <alignment horizontal="center" vertical="center" wrapText="1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vertical="center"/>
      <protection locked="0"/>
    </xf>
    <xf numFmtId="168" fontId="33" fillId="0" borderId="17" xfId="0" applyNumberFormat="1" applyFont="1" applyFill="1" applyBorder="1" applyAlignment="1">
      <alignment horizontal="center" vertical="center"/>
    </xf>
    <xf numFmtId="0" fontId="33" fillId="0" borderId="17" xfId="0" applyFont="1" applyFill="1" applyBorder="1" applyAlignment="1" applyProtection="1">
      <alignment horizontal="left" vertical="center" wrapText="1"/>
      <protection locked="0"/>
    </xf>
    <xf numFmtId="2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38" fillId="0" borderId="27" xfId="0" applyFont="1" applyFill="1" applyBorder="1" applyAlignment="1" applyProtection="1">
      <alignment vertical="center" wrapText="1"/>
      <protection locked="0"/>
    </xf>
    <xf numFmtId="0" fontId="38" fillId="0" borderId="8" xfId="0" applyFont="1" applyFill="1" applyBorder="1" applyAlignment="1" applyProtection="1">
      <alignment vertical="center" wrapText="1"/>
      <protection locked="0"/>
    </xf>
    <xf numFmtId="0" fontId="33" fillId="0" borderId="17" xfId="0" applyFont="1" applyFill="1" applyBorder="1" applyAlignment="1" applyProtection="1">
      <alignment horizontal="right" vertical="center" wrapText="1"/>
      <protection locked="0"/>
    </xf>
    <xf numFmtId="0" fontId="33" fillId="0" borderId="15" xfId="0" applyFont="1" applyFill="1" applyBorder="1" applyAlignment="1" applyProtection="1">
      <alignment vertical="center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0" borderId="53" xfId="0" applyFont="1" applyFill="1" applyBorder="1" applyAlignment="1" applyProtection="1">
      <alignment vertical="center"/>
      <protection locked="0"/>
    </xf>
    <xf numFmtId="0" fontId="38" fillId="0" borderId="46" xfId="0" applyFont="1" applyFill="1" applyBorder="1" applyAlignment="1" applyProtection="1">
      <alignment vertical="center"/>
      <protection locked="0"/>
    </xf>
    <xf numFmtId="0" fontId="38" fillId="0" borderId="54" xfId="0" applyFont="1" applyFill="1" applyBorder="1" applyAlignment="1" applyProtection="1">
      <alignment vertical="center" wrapText="1"/>
      <protection locked="0"/>
    </xf>
    <xf numFmtId="0" fontId="39" fillId="0" borderId="1" xfId="0" applyFont="1" applyFill="1" applyBorder="1" applyAlignment="1" applyProtection="1">
      <alignment horizontal="left" vertical="center" wrapText="1"/>
      <protection locked="0"/>
    </xf>
    <xf numFmtId="168" fontId="33" fillId="0" borderId="2" xfId="0" applyNumberFormat="1" applyFont="1" applyFill="1" applyBorder="1" applyAlignment="1">
      <alignment horizontal="center" vertical="center"/>
    </xf>
    <xf numFmtId="0" fontId="33" fillId="0" borderId="53" xfId="22" applyFont="1" applyFill="1" applyBorder="1" applyAlignment="1">
      <alignment horizontal="center" vertical="center" wrapText="1"/>
    </xf>
    <xf numFmtId="0" fontId="39" fillId="0" borderId="46" xfId="0" applyFont="1" applyFill="1" applyBorder="1" applyAlignment="1" applyProtection="1">
      <alignment horizontal="left" vertical="center" wrapText="1"/>
      <protection locked="0"/>
    </xf>
    <xf numFmtId="168" fontId="33" fillId="0" borderId="56" xfId="0" applyNumberFormat="1" applyFont="1" applyFill="1" applyBorder="1" applyAlignment="1">
      <alignment horizontal="center" vertical="center"/>
    </xf>
    <xf numFmtId="0" fontId="33" fillId="0" borderId="57" xfId="22" applyFont="1" applyFill="1" applyBorder="1" applyAlignment="1">
      <alignment horizontal="center" vertical="center" wrapText="1"/>
    </xf>
    <xf numFmtId="168" fontId="34" fillId="0" borderId="4" xfId="0" applyNumberFormat="1" applyFont="1" applyFill="1" applyBorder="1" applyAlignment="1">
      <alignment horizontal="center" vertical="center"/>
    </xf>
    <xf numFmtId="0" fontId="33" fillId="0" borderId="7" xfId="0" applyFont="1" applyFill="1" applyBorder="1" applyAlignment="1" applyProtection="1">
      <alignment vertical="center" wrapText="1"/>
      <protection locked="0"/>
    </xf>
    <xf numFmtId="0" fontId="33" fillId="0" borderId="7" xfId="15" applyFont="1" applyBorder="1" applyAlignment="1" applyProtection="1">
      <alignment horizontal="left" vertical="center" wrapText="1"/>
      <protection locked="0"/>
    </xf>
    <xf numFmtId="0" fontId="34" fillId="0" borderId="4" xfId="15" applyFont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left" vertical="center" wrapText="1"/>
      <protection locked="0"/>
    </xf>
    <xf numFmtId="167" fontId="34" fillId="0" borderId="7" xfId="0" applyNumberFormat="1" applyFont="1" applyFill="1" applyBorder="1" applyAlignment="1">
      <alignment horizontal="center" vertical="center"/>
    </xf>
    <xf numFmtId="2" fontId="33" fillId="0" borderId="7" xfId="0" applyNumberFormat="1" applyFont="1" applyFill="1" applyBorder="1" applyAlignment="1" applyProtection="1">
      <alignment horizontal="center" vertical="center"/>
      <protection locked="0"/>
    </xf>
    <xf numFmtId="4" fontId="33" fillId="0" borderId="7" xfId="0" applyNumberFormat="1" applyFont="1" applyFill="1" applyBorder="1" applyAlignment="1" applyProtection="1">
      <alignment horizontal="center" vertical="center"/>
      <protection locked="0"/>
    </xf>
    <xf numFmtId="4" fontId="33" fillId="0" borderId="44" xfId="0" applyNumberFormat="1" applyFont="1" applyFill="1" applyBorder="1" applyAlignment="1" applyProtection="1">
      <alignment horizontal="center" vertical="center"/>
      <protection locked="0"/>
    </xf>
    <xf numFmtId="0" fontId="33" fillId="0" borderId="4" xfId="0" applyFont="1" applyFill="1" applyBorder="1" applyAlignment="1">
      <alignment horizontal="left" vertical="center"/>
    </xf>
    <xf numFmtId="3" fontId="33" fillId="0" borderId="4" xfId="0" applyNumberFormat="1" applyFont="1" applyFill="1" applyBorder="1" applyAlignment="1">
      <alignment horizontal="center" vertical="center"/>
    </xf>
    <xf numFmtId="0" fontId="39" fillId="0" borderId="4" xfId="0" applyFont="1" applyFill="1" applyBorder="1" applyAlignment="1" applyProtection="1">
      <alignment horizontal="left" vertical="center" wrapText="1"/>
      <protection locked="0"/>
    </xf>
    <xf numFmtId="168" fontId="34" fillId="0" borderId="7" xfId="0" applyNumberFormat="1" applyFont="1" applyFill="1" applyBorder="1" applyAlignment="1">
      <alignment horizontal="center" vertical="center"/>
    </xf>
    <xf numFmtId="0" fontId="34" fillId="0" borderId="8" xfId="0" applyFont="1" applyFill="1" applyBorder="1" applyAlignment="1" applyProtection="1">
      <alignment horizontal="center" vertical="center" wrapText="1"/>
      <protection locked="0"/>
    </xf>
    <xf numFmtId="4" fontId="34" fillId="0" borderId="42" xfId="0" applyNumberFormat="1" applyFont="1" applyFill="1" applyBorder="1" applyAlignment="1" applyProtection="1">
      <alignment horizontal="center" vertical="center"/>
      <protection locked="0"/>
    </xf>
    <xf numFmtId="168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34" fillId="0" borderId="17" xfId="0" applyFont="1" applyFill="1" applyBorder="1" applyAlignment="1" applyProtection="1">
      <alignment vertical="center" wrapText="1"/>
      <protection locked="0"/>
    </xf>
    <xf numFmtId="166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7" xfId="0" applyFont="1" applyFill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Fill="1" applyBorder="1" applyAlignment="1" applyProtection="1">
      <alignment horizontal="center" vertical="center"/>
      <protection locked="0"/>
    </xf>
    <xf numFmtId="0" fontId="40" fillId="0" borderId="0" xfId="15" applyFont="1" applyBorder="1" applyAlignment="1" applyProtection="1">
      <alignment vertical="center"/>
      <protection locked="0"/>
    </xf>
    <xf numFmtId="0" fontId="40" fillId="0" borderId="58" xfId="15" applyFont="1" applyFill="1" applyBorder="1" applyAlignment="1" applyProtection="1">
      <alignment vertical="center"/>
      <protection locked="0"/>
    </xf>
    <xf numFmtId="0" fontId="40" fillId="0" borderId="59" xfId="15" applyFont="1" applyFill="1" applyBorder="1" applyAlignment="1" applyProtection="1">
      <alignment vertical="center"/>
      <protection locked="0"/>
    </xf>
    <xf numFmtId="0" fontId="41" fillId="0" borderId="0" xfId="15" applyFont="1" applyFill="1" applyBorder="1" applyAlignment="1" applyProtection="1">
      <alignment vertical="center"/>
      <protection locked="0"/>
    </xf>
    <xf numFmtId="0" fontId="33" fillId="0" borderId="10" xfId="15" applyFont="1" applyFill="1" applyBorder="1" applyAlignment="1">
      <alignment vertical="center"/>
    </xf>
    <xf numFmtId="0" fontId="41" fillId="0" borderId="0" xfId="15" applyFont="1" applyFill="1" applyAlignment="1">
      <alignment vertical="center"/>
    </xf>
    <xf numFmtId="0" fontId="11" fillId="0" borderId="23" xfId="15" applyFont="1" applyFill="1" applyBorder="1" applyAlignment="1">
      <alignment horizontal="left" vertical="center"/>
    </xf>
    <xf numFmtId="4" fontId="11" fillId="0" borderId="23" xfId="15" applyNumberFormat="1" applyFont="1" applyFill="1" applyBorder="1" applyAlignment="1">
      <alignment horizontal="center" vertical="center"/>
    </xf>
    <xf numFmtId="0" fontId="11" fillId="0" borderId="23" xfId="15" applyFont="1" applyFill="1" applyBorder="1" applyAlignment="1">
      <alignment horizontal="center" vertical="center"/>
    </xf>
    <xf numFmtId="0" fontId="10" fillId="0" borderId="32" xfId="1" applyFont="1" applyFill="1" applyBorder="1" applyAlignment="1" applyProtection="1">
      <alignment horizontal="center" vertical="center" wrapText="1"/>
      <protection locked="0"/>
    </xf>
    <xf numFmtId="0" fontId="11" fillId="0" borderId="3" xfId="15" applyFont="1" applyFill="1" applyBorder="1" applyAlignment="1">
      <alignment horizontal="left" vertical="center"/>
    </xf>
    <xf numFmtId="3" fontId="11" fillId="0" borderId="3" xfId="15" applyNumberFormat="1" applyFont="1" applyFill="1" applyBorder="1" applyAlignment="1">
      <alignment horizontal="center" vertical="center"/>
    </xf>
    <xf numFmtId="0" fontId="11" fillId="0" borderId="3" xfId="15" applyFont="1" applyFill="1" applyBorder="1" applyAlignment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  <protection locked="0"/>
    </xf>
    <xf numFmtId="2" fontId="11" fillId="0" borderId="27" xfId="15" applyNumberFormat="1" applyFont="1" applyFill="1" applyBorder="1" applyAlignment="1" applyProtection="1">
      <alignment vertical="center" wrapText="1"/>
      <protection locked="0"/>
    </xf>
    <xf numFmtId="0" fontId="33" fillId="0" borderId="0" xfId="15" applyFont="1" applyAlignment="1">
      <alignment vertical="center"/>
    </xf>
    <xf numFmtId="0" fontId="40" fillId="0" borderId="0" xfId="15" applyFont="1" applyFill="1" applyAlignment="1">
      <alignment vertical="center"/>
    </xf>
    <xf numFmtId="0" fontId="11" fillId="0" borderId="3" xfId="15" applyFont="1" applyBorder="1" applyAlignment="1" applyProtection="1">
      <alignment horizontal="left" vertical="center" wrapText="1"/>
      <protection locked="0"/>
    </xf>
    <xf numFmtId="0" fontId="11" fillId="0" borderId="37" xfId="15" applyFont="1" applyBorder="1" applyAlignment="1" applyProtection="1">
      <alignment horizontal="left" vertical="center" wrapText="1"/>
      <protection locked="0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4" xfId="15" applyFont="1" applyFill="1" applyBorder="1" applyAlignment="1">
      <alignment vertical="center" wrapText="1"/>
    </xf>
    <xf numFmtId="0" fontId="19" fillId="0" borderId="53" xfId="15" applyFont="1" applyFill="1" applyBorder="1" applyAlignment="1">
      <alignment vertical="center"/>
    </xf>
    <xf numFmtId="0" fontId="11" fillId="0" borderId="54" xfId="15" applyFont="1" applyBorder="1" applyAlignment="1" applyProtection="1">
      <alignment horizontal="right" vertical="center" wrapText="1"/>
      <protection locked="0"/>
    </xf>
    <xf numFmtId="0" fontId="11" fillId="0" borderId="54" xfId="15" applyFont="1" applyBorder="1" applyAlignment="1" applyProtection="1">
      <alignment horizontal="center" vertical="center" wrapText="1"/>
      <protection locked="0"/>
    </xf>
    <xf numFmtId="169" fontId="11" fillId="0" borderId="54" xfId="15" applyNumberFormat="1" applyFont="1" applyBorder="1" applyAlignment="1" applyProtection="1">
      <alignment horizontal="center" vertical="center" wrapText="1"/>
      <protection locked="0"/>
    </xf>
    <xf numFmtId="2" fontId="10" fillId="0" borderId="54" xfId="15" applyNumberFormat="1" applyFont="1" applyBorder="1" applyAlignment="1" applyProtection="1">
      <alignment horizontal="center" vertical="center" wrapText="1"/>
      <protection locked="0"/>
    </xf>
    <xf numFmtId="0" fontId="11" fillId="0" borderId="37" xfId="15" applyFont="1" applyFill="1" applyBorder="1" applyAlignment="1">
      <alignment horizontal="left" vertical="center"/>
    </xf>
    <xf numFmtId="170" fontId="11" fillId="0" borderId="37" xfId="15" applyNumberFormat="1" applyFont="1" applyFill="1" applyBorder="1" applyAlignment="1">
      <alignment horizontal="center" vertical="center"/>
    </xf>
    <xf numFmtId="0" fontId="11" fillId="0" borderId="37" xfId="15" applyFont="1" applyFill="1" applyBorder="1" applyAlignment="1">
      <alignment horizontal="center" vertical="center"/>
    </xf>
    <xf numFmtId="0" fontId="10" fillId="0" borderId="34" xfId="1" applyFont="1" applyFill="1" applyBorder="1" applyAlignment="1" applyProtection="1">
      <alignment horizontal="center" vertical="center" wrapText="1"/>
      <protection locked="0"/>
    </xf>
    <xf numFmtId="0" fontId="46" fillId="0" borderId="3" xfId="10" applyFont="1" applyFill="1" applyBorder="1" applyAlignment="1">
      <alignment vertical="center"/>
    </xf>
    <xf numFmtId="0" fontId="46" fillId="0" borderId="3" xfId="10" applyFont="1" applyFill="1" applyBorder="1" applyAlignment="1">
      <alignment vertical="center" wrapText="1"/>
    </xf>
    <xf numFmtId="0" fontId="47" fillId="0" borderId="3" xfId="10" applyFont="1" applyFill="1" applyBorder="1" applyAlignment="1">
      <alignment vertical="center"/>
    </xf>
    <xf numFmtId="2" fontId="47" fillId="0" borderId="3" xfId="10" applyNumberFormat="1" applyFont="1" applyFill="1" applyBorder="1" applyAlignment="1">
      <alignment vertical="center"/>
    </xf>
    <xf numFmtId="4" fontId="47" fillId="0" borderId="3" xfId="10" applyNumberFormat="1" applyFont="1" applyFill="1" applyBorder="1" applyAlignment="1">
      <alignment horizontal="center" vertical="center"/>
    </xf>
    <xf numFmtId="0" fontId="47" fillId="0" borderId="3" xfId="10" applyFont="1" applyFill="1" applyBorder="1" applyAlignment="1">
      <alignment horizontal="center" vertical="center"/>
    </xf>
    <xf numFmtId="2" fontId="47" fillId="0" borderId="3" xfId="10" applyNumberFormat="1" applyFont="1" applyFill="1" applyBorder="1" applyAlignment="1">
      <alignment horizontal="center" vertical="center"/>
    </xf>
    <xf numFmtId="4" fontId="47" fillId="0" borderId="3" xfId="10" applyNumberFormat="1" applyFont="1" applyFill="1" applyBorder="1" applyAlignment="1" applyProtection="1">
      <alignment vertical="center"/>
      <protection hidden="1"/>
    </xf>
    <xf numFmtId="4" fontId="47" fillId="0" borderId="3" xfId="10" applyNumberFormat="1" applyFont="1" applyFill="1" applyBorder="1" applyAlignment="1">
      <alignment vertical="center"/>
    </xf>
    <xf numFmtId="0" fontId="44" fillId="0" borderId="3" xfId="10" applyFont="1" applyFill="1" applyBorder="1" applyAlignment="1">
      <alignment vertical="center" wrapText="1"/>
    </xf>
    <xf numFmtId="4" fontId="44" fillId="0" borderId="3" xfId="10" applyNumberFormat="1" applyFont="1" applyFill="1" applyBorder="1" applyAlignment="1">
      <alignment vertical="center"/>
    </xf>
    <xf numFmtId="2" fontId="48" fillId="0" borderId="3" xfId="0" applyNumberFormat="1" applyFont="1" applyFill="1" applyBorder="1" applyAlignment="1" applyProtection="1">
      <alignment vertical="center" wrapText="1"/>
      <protection locked="0"/>
    </xf>
    <xf numFmtId="4" fontId="48" fillId="0" borderId="3" xfId="0" applyNumberFormat="1" applyFont="1" applyFill="1" applyBorder="1" applyAlignment="1" applyProtection="1">
      <alignment horizontal="center" vertical="center"/>
      <protection locked="0"/>
    </xf>
    <xf numFmtId="0" fontId="44" fillId="0" borderId="3" xfId="10" applyFont="1" applyFill="1" applyBorder="1" applyAlignment="1">
      <alignment vertical="center"/>
    </xf>
    <xf numFmtId="0" fontId="34" fillId="0" borderId="0" xfId="15" applyFont="1" applyBorder="1" applyAlignment="1" applyProtection="1">
      <alignment vertical="center"/>
      <protection locked="0"/>
    </xf>
    <xf numFmtId="0" fontId="49" fillId="0" borderId="0" xfId="0" applyFont="1"/>
    <xf numFmtId="2" fontId="33" fillId="0" borderId="0" xfId="15" applyNumberFormat="1" applyFont="1" applyBorder="1" applyAlignment="1" applyProtection="1">
      <alignment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4" fontId="33" fillId="0" borderId="0" xfId="15" applyNumberFormat="1" applyFont="1" applyBorder="1" applyAlignment="1" applyProtection="1">
      <alignment horizontal="center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4" fontId="33" fillId="0" borderId="0" xfId="15" applyNumberFormat="1" applyFont="1" applyAlignment="1">
      <alignment vertical="center"/>
    </xf>
    <xf numFmtId="0" fontId="33" fillId="0" borderId="0" xfId="15" applyFont="1" applyAlignment="1">
      <alignment horizontal="center" vertical="center"/>
    </xf>
    <xf numFmtId="0" fontId="33" fillId="0" borderId="20" xfId="15" applyFont="1" applyBorder="1" applyAlignment="1">
      <alignment horizontal="center" vertical="center" wrapText="1"/>
    </xf>
    <xf numFmtId="0" fontId="33" fillId="0" borderId="3" xfId="15" applyFont="1" applyBorder="1" applyAlignment="1">
      <alignment vertical="top" wrapText="1"/>
    </xf>
    <xf numFmtId="0" fontId="33" fillId="0" borderId="2" xfId="15" applyFont="1" applyBorder="1" applyAlignment="1">
      <alignment vertical="center" wrapText="1"/>
    </xf>
    <xf numFmtId="4" fontId="33" fillId="0" borderId="3" xfId="15" applyNumberFormat="1" applyFont="1" applyBorder="1" applyAlignment="1">
      <alignment horizontal="center" vertical="center" wrapText="1"/>
    </xf>
    <xf numFmtId="0" fontId="33" fillId="0" borderId="3" xfId="15" applyFont="1" applyBorder="1" applyAlignment="1">
      <alignment horizontal="left" vertical="center" wrapText="1"/>
    </xf>
    <xf numFmtId="0" fontId="33" fillId="0" borderId="3" xfId="15" applyFont="1" applyBorder="1" applyAlignment="1">
      <alignment horizontal="center" vertical="center" wrapText="1"/>
    </xf>
    <xf numFmtId="4" fontId="33" fillId="0" borderId="30" xfId="15" applyNumberFormat="1" applyFont="1" applyFill="1" applyBorder="1" applyAlignment="1">
      <alignment horizontal="right" vertical="center" wrapText="1"/>
    </xf>
    <xf numFmtId="0" fontId="50" fillId="0" borderId="0" xfId="0" applyFont="1" applyBorder="1"/>
    <xf numFmtId="0" fontId="34" fillId="0" borderId="3" xfId="15" applyFont="1" applyBorder="1" applyAlignment="1">
      <alignment vertical="top" wrapText="1"/>
    </xf>
    <xf numFmtId="4" fontId="33" fillId="0" borderId="1" xfId="15" applyNumberFormat="1" applyFont="1" applyFill="1" applyBorder="1" applyAlignment="1">
      <alignment horizontal="center" vertical="center" wrapText="1"/>
    </xf>
    <xf numFmtId="2" fontId="34" fillId="0" borderId="3" xfId="15" applyNumberFormat="1" applyFont="1" applyBorder="1" applyAlignment="1">
      <alignment horizontal="left" vertical="center" wrapText="1"/>
    </xf>
    <xf numFmtId="2" fontId="34" fillId="0" borderId="3" xfId="15" applyNumberFormat="1" applyFont="1" applyBorder="1" applyAlignment="1">
      <alignment horizontal="center" vertical="center" wrapText="1"/>
    </xf>
    <xf numFmtId="4" fontId="34" fillId="0" borderId="22" xfId="15" applyNumberFormat="1" applyFont="1" applyFill="1" applyBorder="1" applyAlignment="1">
      <alignment horizontal="right" vertical="center" wrapText="1"/>
    </xf>
    <xf numFmtId="4" fontId="33" fillId="0" borderId="22" xfId="15" applyNumberFormat="1" applyFont="1" applyFill="1" applyBorder="1" applyAlignment="1">
      <alignment horizontal="right" vertical="center" wrapText="1"/>
    </xf>
    <xf numFmtId="0" fontId="33" fillId="0" borderId="20" xfId="15" applyFont="1" applyFill="1" applyBorder="1" applyAlignment="1">
      <alignment horizontal="center" vertical="center" wrapText="1"/>
    </xf>
    <xf numFmtId="0" fontId="33" fillId="0" borderId="3" xfId="15" applyFont="1" applyFill="1" applyBorder="1" applyAlignment="1">
      <alignment vertical="center" wrapText="1"/>
    </xf>
    <xf numFmtId="0" fontId="33" fillId="0" borderId="3" xfId="15" applyFont="1" applyFill="1" applyBorder="1" applyAlignment="1" applyProtection="1">
      <alignment vertical="center"/>
      <protection locked="0"/>
    </xf>
    <xf numFmtId="0" fontId="33" fillId="0" borderId="3" xfId="15" applyFont="1" applyFill="1" applyBorder="1" applyAlignment="1">
      <alignment horizontal="center" vertical="center"/>
    </xf>
    <xf numFmtId="0" fontId="33" fillId="0" borderId="3" xfId="15" applyFont="1" applyFill="1" applyBorder="1" applyAlignment="1">
      <alignment horizontal="left" vertical="center" wrapText="1"/>
    </xf>
    <xf numFmtId="0" fontId="33" fillId="0" borderId="14" xfId="15" applyFont="1" applyFill="1" applyBorder="1" applyAlignment="1">
      <alignment horizontal="center" vertical="center" wrapText="1"/>
    </xf>
    <xf numFmtId="0" fontId="33" fillId="0" borderId="6" xfId="15" applyFont="1" applyFill="1" applyBorder="1" applyAlignment="1">
      <alignment vertical="top" wrapText="1"/>
    </xf>
    <xf numFmtId="0" fontId="33" fillId="0" borderId="16" xfId="15" applyFont="1" applyFill="1" applyBorder="1" applyAlignment="1">
      <alignment vertical="center" wrapText="1"/>
    </xf>
    <xf numFmtId="4" fontId="33" fillId="0" borderId="6" xfId="15" applyNumberFormat="1" applyFont="1" applyFill="1" applyBorder="1" applyAlignment="1">
      <alignment horizontal="center" vertical="center" wrapText="1"/>
    </xf>
    <xf numFmtId="0" fontId="33" fillId="0" borderId="6" xfId="15" applyFont="1" applyFill="1" applyBorder="1" applyAlignment="1">
      <alignment horizontal="left" vertical="center" wrapText="1"/>
    </xf>
    <xf numFmtId="166" fontId="33" fillId="0" borderId="6" xfId="15" applyNumberFormat="1" applyFont="1" applyFill="1" applyBorder="1" applyAlignment="1">
      <alignment horizontal="center" vertical="center" wrapText="1"/>
    </xf>
    <xf numFmtId="1" fontId="33" fillId="0" borderId="6" xfId="15" applyNumberFormat="1" applyFont="1" applyFill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center" vertical="center" wrapText="1"/>
    </xf>
    <xf numFmtId="0" fontId="33" fillId="0" borderId="3" xfId="15" applyFont="1" applyFill="1" applyBorder="1" applyAlignment="1">
      <alignment horizontal="center" vertical="center" wrapText="1"/>
    </xf>
    <xf numFmtId="0" fontId="33" fillId="0" borderId="3" xfId="15" applyFont="1" applyFill="1" applyBorder="1" applyAlignment="1" applyProtection="1">
      <alignment horizontal="left" vertical="top" wrapText="1"/>
      <protection locked="0"/>
    </xf>
    <xf numFmtId="0" fontId="33" fillId="0" borderId="3" xfId="15" applyFont="1" applyFill="1" applyBorder="1" applyAlignment="1" applyProtection="1">
      <alignment horizontal="left" vertical="center" wrapText="1"/>
      <protection locked="0"/>
    </xf>
    <xf numFmtId="0" fontId="33" fillId="0" borderId="1" xfId="15" applyFont="1" applyFill="1" applyBorder="1" applyAlignment="1" applyProtection="1">
      <alignment horizontal="center" vertical="center" wrapText="1"/>
      <protection locked="0"/>
    </xf>
    <xf numFmtId="4" fontId="33" fillId="0" borderId="22" xfId="15" applyNumberFormat="1" applyFont="1" applyFill="1" applyBorder="1" applyAlignment="1" applyProtection="1">
      <alignment vertical="center" wrapText="1"/>
      <protection locked="0"/>
    </xf>
    <xf numFmtId="0" fontId="33" fillId="0" borderId="3" xfId="15" applyFont="1" applyFill="1" applyBorder="1" applyAlignment="1" applyProtection="1">
      <alignment horizontal="center" vertical="top" wrapText="1"/>
      <protection locked="0"/>
    </xf>
    <xf numFmtId="9" fontId="33" fillId="0" borderId="3" xfId="15" applyNumberFormat="1" applyFont="1" applyBorder="1" applyAlignment="1">
      <alignment horizontal="center" vertical="center" wrapText="1"/>
    </xf>
    <xf numFmtId="3" fontId="33" fillId="0" borderId="3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left" vertical="center" wrapText="1"/>
    </xf>
    <xf numFmtId="10" fontId="33" fillId="0" borderId="3" xfId="15" applyNumberFormat="1" applyFont="1" applyBorder="1" applyAlignment="1">
      <alignment horizontal="center" vertical="center" wrapText="1"/>
    </xf>
    <xf numFmtId="4" fontId="51" fillId="0" borderId="3" xfId="15" applyNumberFormat="1" applyFont="1" applyBorder="1" applyAlignment="1">
      <alignment horizontal="center" vertical="center" wrapText="1" shrinkToFit="1"/>
    </xf>
    <xf numFmtId="0" fontId="33" fillId="0" borderId="3" xfId="15" applyFont="1" applyBorder="1" applyAlignment="1">
      <alignment horizontal="center" vertical="center" wrapText="1" shrinkToFit="1"/>
    </xf>
    <xf numFmtId="0" fontId="33" fillId="0" borderId="0" xfId="15" applyFont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left" vertical="top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4" fontId="33" fillId="0" borderId="0" xfId="15" applyNumberFormat="1" applyFont="1" applyBorder="1" applyAlignment="1" applyProtection="1">
      <alignment vertical="center"/>
      <protection locked="0"/>
    </xf>
    <xf numFmtId="2" fontId="33" fillId="0" borderId="0" xfId="15" applyNumberFormat="1" applyFont="1" applyBorder="1" applyAlignment="1" applyProtection="1">
      <alignment horizontal="center" vertical="center"/>
      <protection locked="0"/>
    </xf>
    <xf numFmtId="0" fontId="31" fillId="0" borderId="19" xfId="15" applyFont="1" applyFill="1" applyBorder="1" applyAlignment="1" applyProtection="1">
      <alignment horizontal="center" vertical="center" wrapText="1"/>
      <protection locked="0"/>
    </xf>
    <xf numFmtId="0" fontId="31" fillId="0" borderId="5" xfId="15" applyFont="1" applyFill="1" applyBorder="1" applyAlignment="1" applyProtection="1">
      <alignment horizontal="center" vertical="center" wrapText="1"/>
      <protection hidden="1"/>
    </xf>
    <xf numFmtId="0" fontId="31" fillId="0" borderId="5" xfId="15" applyFont="1" applyFill="1" applyBorder="1" applyAlignment="1">
      <alignment horizontal="center" vertical="center" wrapText="1"/>
    </xf>
    <xf numFmtId="0" fontId="31" fillId="0" borderId="9" xfId="15" applyFont="1" applyFill="1" applyBorder="1" applyAlignment="1" applyProtection="1">
      <alignment horizontal="center" vertical="center" wrapText="1"/>
      <protection hidden="1"/>
    </xf>
    <xf numFmtId="0" fontId="52" fillId="0" borderId="0" xfId="0" applyFont="1"/>
    <xf numFmtId="0" fontId="34" fillId="0" borderId="3" xfId="15" applyFont="1" applyBorder="1" applyAlignment="1">
      <alignment horizontal="left" vertical="center"/>
    </xf>
    <xf numFmtId="4" fontId="34" fillId="0" borderId="45" xfId="15" applyNumberFormat="1" applyFont="1" applyFill="1" applyBorder="1" applyAlignment="1">
      <alignment horizontal="right" vertical="center" wrapText="1"/>
    </xf>
    <xf numFmtId="2" fontId="33" fillId="0" borderId="0" xfId="15" applyNumberFormat="1" applyFont="1" applyBorder="1" applyAlignment="1" applyProtection="1">
      <alignment horizontal="center" vertical="center" wrapText="1"/>
      <protection locked="0"/>
    </xf>
    <xf numFmtId="0" fontId="54" fillId="0" borderId="3" xfId="15" applyFont="1" applyBorder="1" applyAlignment="1" applyProtection="1">
      <alignment horizontal="center" vertical="center" wrapText="1"/>
      <protection locked="0"/>
    </xf>
    <xf numFmtId="0" fontId="34" fillId="0" borderId="3" xfId="15" applyFont="1" applyFill="1" applyBorder="1" applyAlignment="1" applyProtection="1">
      <alignment vertical="center" wrapText="1"/>
      <protection locked="0"/>
    </xf>
    <xf numFmtId="4" fontId="33" fillId="0" borderId="3" xfId="0" applyNumberFormat="1" applyFont="1" applyFill="1" applyBorder="1" applyAlignment="1">
      <alignment vertical="center"/>
    </xf>
    <xf numFmtId="0" fontId="34" fillId="0" borderId="3" xfId="15" applyFont="1" applyFill="1" applyBorder="1" applyAlignment="1" applyProtection="1">
      <alignment horizontal="center" vertical="center" wrapText="1"/>
      <protection locked="0"/>
    </xf>
    <xf numFmtId="2" fontId="34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34" fillId="0" borderId="3" xfId="15" applyNumberFormat="1" applyFont="1" applyFill="1" applyBorder="1" applyAlignment="1" applyProtection="1">
      <alignment vertical="center" wrapText="1"/>
      <protection locked="0"/>
    </xf>
    <xf numFmtId="0" fontId="34" fillId="0" borderId="3" xfId="15" applyFont="1" applyBorder="1" applyAlignment="1" applyProtection="1">
      <alignment horizontal="center" vertical="center"/>
      <protection locked="0"/>
    </xf>
    <xf numFmtId="4" fontId="33" fillId="0" borderId="3" xfId="15" applyNumberFormat="1" applyFont="1" applyBorder="1" applyAlignment="1" applyProtection="1">
      <alignment vertical="center"/>
      <protection locked="0"/>
    </xf>
    <xf numFmtId="166" fontId="33" fillId="0" borderId="3" xfId="15" applyNumberFormat="1" applyFont="1" applyFill="1" applyBorder="1" applyAlignment="1" applyProtection="1">
      <alignment horizontal="center" vertical="center"/>
      <protection locked="0"/>
    </xf>
    <xf numFmtId="0" fontId="33" fillId="0" borderId="3" xfId="15" applyFont="1" applyBorder="1" applyAlignment="1" applyProtection="1">
      <alignment horizontal="center" vertical="center" wrapText="1"/>
      <protection locked="0"/>
    </xf>
    <xf numFmtId="4" fontId="33" fillId="0" borderId="3" xfId="15" applyNumberFormat="1" applyFont="1" applyBorder="1" applyAlignment="1" applyProtection="1">
      <alignment vertical="center"/>
    </xf>
    <xf numFmtId="2" fontId="34" fillId="0" borderId="3" xfId="15" applyNumberFormat="1" applyFont="1" applyFill="1" applyBorder="1" applyAlignment="1" applyProtection="1">
      <alignment vertical="center" wrapText="1"/>
      <protection locked="0"/>
    </xf>
    <xf numFmtId="4" fontId="36" fillId="0" borderId="0" xfId="15" applyNumberFormat="1" applyFont="1" applyBorder="1" applyAlignment="1" applyProtection="1">
      <alignment horizontal="left" vertical="center"/>
      <protection locked="0"/>
    </xf>
    <xf numFmtId="0" fontId="31" fillId="0" borderId="3" xfId="15" applyFont="1" applyBorder="1" applyAlignment="1" applyProtection="1">
      <alignment vertical="center" wrapText="1"/>
      <protection locked="0"/>
    </xf>
    <xf numFmtId="4" fontId="31" fillId="0" borderId="3" xfId="15" applyNumberFormat="1" applyFont="1" applyBorder="1" applyAlignment="1" applyProtection="1">
      <alignment horizontal="center" vertical="center" wrapText="1"/>
      <protection locked="0"/>
    </xf>
    <xf numFmtId="0" fontId="31" fillId="0" borderId="3" xfId="15" applyFont="1" applyBorder="1" applyAlignment="1" applyProtection="1">
      <alignment horizontal="center" vertical="center" wrapText="1"/>
      <protection locked="0"/>
    </xf>
    <xf numFmtId="2" fontId="31" fillId="0" borderId="3" xfId="15" applyNumberFormat="1" applyFont="1" applyBorder="1" applyAlignment="1" applyProtection="1">
      <alignment horizontal="center" vertical="center" wrapText="1"/>
      <protection locked="0"/>
    </xf>
    <xf numFmtId="4" fontId="31" fillId="0" borderId="3" xfId="15" applyNumberFormat="1" applyFont="1" applyBorder="1" applyAlignment="1" applyProtection="1">
      <alignment vertical="center" wrapText="1"/>
      <protection locked="0"/>
    </xf>
    <xf numFmtId="0" fontId="34" fillId="0" borderId="0" xfId="0" applyFont="1" applyFill="1" applyBorder="1" applyAlignment="1" applyProtection="1">
      <alignment vertical="center"/>
      <protection locked="0"/>
    </xf>
    <xf numFmtId="0" fontId="34" fillId="0" borderId="0" xfId="0" applyFont="1" applyFill="1" applyBorder="1" applyAlignment="1" applyProtection="1">
      <alignment vertical="center" wrapText="1"/>
      <protection locked="0"/>
    </xf>
    <xf numFmtId="0" fontId="33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 applyProtection="1">
      <alignment horizontal="left" vertical="center" wrapText="1"/>
      <protection locked="0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34" fillId="0" borderId="36" xfId="0" applyNumberFormat="1" applyFont="1" applyFill="1" applyBorder="1" applyAlignment="1" applyProtection="1">
      <alignment horizontal="right" vertical="center"/>
      <protection locked="0"/>
    </xf>
    <xf numFmtId="4" fontId="34" fillId="0" borderId="41" xfId="0" applyNumberFormat="1" applyFont="1" applyFill="1" applyBorder="1" applyAlignment="1" applyProtection="1">
      <alignment horizontal="right" vertical="center"/>
      <protection locked="0"/>
    </xf>
    <xf numFmtId="4" fontId="34" fillId="0" borderId="9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Fill="1" applyBorder="1" applyAlignment="1" applyProtection="1">
      <alignment horizontal="right" vertical="center"/>
      <protection locked="0"/>
    </xf>
    <xf numFmtId="0" fontId="34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 wrapText="1"/>
    </xf>
    <xf numFmtId="0" fontId="53" fillId="0" borderId="0" xfId="0" applyFont="1" applyFill="1" applyAlignment="1">
      <alignment vertical="center"/>
    </xf>
    <xf numFmtId="0" fontId="34" fillId="0" borderId="4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>
      <alignment horizontal="center" vertical="center"/>
    </xf>
    <xf numFmtId="0" fontId="33" fillId="0" borderId="0" xfId="0" applyFont="1" applyAlignment="1">
      <alignment vertical="center"/>
    </xf>
    <xf numFmtId="4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28" xfId="0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Border="1" applyAlignment="1">
      <alignment vertical="center"/>
    </xf>
    <xf numFmtId="4" fontId="34" fillId="0" borderId="5" xfId="0" applyNumberFormat="1" applyFont="1" applyFill="1" applyBorder="1" applyAlignment="1" applyProtection="1">
      <alignment horizontal="left" vertical="center" wrapText="1"/>
      <protection locked="0"/>
    </xf>
    <xf numFmtId="2" fontId="33" fillId="0" borderId="40" xfId="0" applyNumberFormat="1" applyFont="1" applyFill="1" applyBorder="1" applyAlignment="1" applyProtection="1">
      <alignment horizontal="center" vertical="center"/>
      <protection locked="0"/>
    </xf>
    <xf numFmtId="4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 applyProtection="1">
      <alignment horizontal="center" vertical="center"/>
      <protection locked="0"/>
    </xf>
    <xf numFmtId="170" fontId="33" fillId="0" borderId="5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/>
    <xf numFmtId="0" fontId="33" fillId="0" borderId="0" xfId="5" applyFont="1" applyAlignment="1">
      <alignment horizontal="left" vertical="center"/>
    </xf>
    <xf numFmtId="2" fontId="33" fillId="0" borderId="0" xfId="5" applyNumberFormat="1" applyFont="1" applyBorder="1" applyAlignment="1" applyProtection="1">
      <alignment horizontal="left" vertical="center"/>
      <protection locked="0"/>
    </xf>
    <xf numFmtId="4" fontId="56" fillId="0" borderId="3" xfId="4" applyNumberFormat="1" applyFont="1" applyBorder="1" applyAlignment="1">
      <alignment horizontal="right" vertical="center" wrapText="1"/>
    </xf>
    <xf numFmtId="0" fontId="56" fillId="0" borderId="3" xfId="3" quotePrefix="1" applyFont="1" applyBorder="1" applyAlignment="1">
      <alignment horizontal="right" vertical="center" wrapText="1"/>
    </xf>
    <xf numFmtId="0" fontId="11" fillId="0" borderId="3" xfId="5" applyFont="1" applyFill="1" applyBorder="1" applyAlignment="1">
      <alignment horizontal="center" vertical="center" wrapText="1"/>
    </xf>
    <xf numFmtId="165" fontId="33" fillId="0" borderId="3" xfId="16" applyFont="1" applyBorder="1" applyAlignment="1">
      <alignment horizontal="center" vertical="center" wrapText="1"/>
    </xf>
    <xf numFmtId="4" fontId="57" fillId="0" borderId="3" xfId="4" applyNumberFormat="1" applyFont="1" applyBorder="1" applyAlignment="1">
      <alignment horizontal="right" vertical="center" wrapText="1"/>
    </xf>
    <xf numFmtId="165" fontId="33" fillId="0" borderId="3" xfId="16" applyFont="1" applyBorder="1" applyAlignment="1" applyProtection="1">
      <alignment vertical="center"/>
      <protection locked="0"/>
    </xf>
    <xf numFmtId="165" fontId="34" fillId="0" borderId="3" xfId="16" applyFont="1" applyBorder="1" applyAlignment="1" applyProtection="1">
      <alignment vertical="center"/>
      <protection locked="0"/>
    </xf>
    <xf numFmtId="165" fontId="34" fillId="0" borderId="3" xfId="16" applyFont="1" applyFill="1" applyBorder="1" applyAlignment="1">
      <alignment vertical="center" wrapText="1"/>
    </xf>
    <xf numFmtId="165" fontId="34" fillId="0" borderId="3" xfId="16" applyFont="1" applyBorder="1" applyAlignment="1">
      <alignment vertical="center" wrapText="1"/>
    </xf>
    <xf numFmtId="0" fontId="57" fillId="0" borderId="3" xfId="3" quotePrefix="1" applyFont="1" applyBorder="1" applyAlignment="1">
      <alignment horizontal="left" vertical="center" wrapText="1"/>
    </xf>
    <xf numFmtId="0" fontId="33" fillId="0" borderId="0" xfId="5" applyFont="1" applyAlignment="1">
      <alignment vertical="center"/>
    </xf>
    <xf numFmtId="0" fontId="40" fillId="0" borderId="0" xfId="5" applyFont="1" applyAlignment="1">
      <alignment vertical="center"/>
    </xf>
    <xf numFmtId="0" fontId="10" fillId="0" borderId="0" xfId="5" applyFont="1" applyAlignment="1">
      <alignment vertical="center"/>
    </xf>
    <xf numFmtId="0" fontId="10" fillId="0" borderId="0" xfId="5" applyFont="1" applyAlignment="1">
      <alignment horizontal="left" vertical="center"/>
    </xf>
    <xf numFmtId="0" fontId="10" fillId="0" borderId="0" xfId="5" applyFont="1" applyAlignment="1">
      <alignment horizontal="right" vertical="center"/>
    </xf>
    <xf numFmtId="0" fontId="16" fillId="0" borderId="0" xfId="5" applyFont="1" applyAlignment="1">
      <alignment vertical="center"/>
    </xf>
    <xf numFmtId="0" fontId="11" fillId="0" borderId="0" xfId="5" applyFont="1" applyAlignment="1">
      <alignment horizontal="center" vertical="center"/>
    </xf>
    <xf numFmtId="4" fontId="10" fillId="0" borderId="0" xfId="5" applyNumberFormat="1" applyFont="1" applyAlignment="1">
      <alignment horizontal="right" vertical="center"/>
    </xf>
    <xf numFmtId="164" fontId="10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horizontal="center" vertical="center"/>
    </xf>
    <xf numFmtId="0" fontId="11" fillId="0" borderId="3" xfId="5" applyFont="1" applyBorder="1" applyAlignment="1">
      <alignment vertical="center"/>
    </xf>
    <xf numFmtId="165" fontId="34" fillId="0" borderId="3" xfId="5" applyNumberFormat="1" applyFont="1" applyBorder="1" applyAlignment="1">
      <alignment vertical="center"/>
    </xf>
    <xf numFmtId="165" fontId="16" fillId="0" borderId="0" xfId="5" applyNumberFormat="1" applyFont="1" applyAlignment="1">
      <alignment vertical="center"/>
    </xf>
    <xf numFmtId="164" fontId="16" fillId="0" borderId="0" xfId="5" applyNumberFormat="1" applyFont="1" applyFill="1" applyAlignment="1">
      <alignment vertical="center"/>
    </xf>
    <xf numFmtId="164" fontId="10" fillId="0" borderId="0" xfId="5" applyNumberFormat="1" applyFont="1" applyFill="1" applyAlignment="1">
      <alignment vertical="center"/>
    </xf>
    <xf numFmtId="165" fontId="10" fillId="0" borderId="0" xfId="5" applyNumberFormat="1" applyFont="1" applyFill="1" applyAlignment="1">
      <alignment vertical="center"/>
    </xf>
    <xf numFmtId="0" fontId="10" fillId="0" borderId="0" xfId="5" applyFont="1" applyFill="1" applyAlignment="1">
      <alignment vertical="center"/>
    </xf>
    <xf numFmtId="164" fontId="16" fillId="0" borderId="0" xfId="5" applyNumberFormat="1" applyFont="1" applyAlignment="1">
      <alignment vertical="center"/>
    </xf>
    <xf numFmtId="164" fontId="10" fillId="0" borderId="0" xfId="5" applyNumberFormat="1" applyFont="1" applyAlignment="1">
      <alignment vertical="center"/>
    </xf>
    <xf numFmtId="165" fontId="10" fillId="0" borderId="0" xfId="5" applyNumberFormat="1" applyFont="1" applyAlignment="1">
      <alignment vertical="center"/>
    </xf>
    <xf numFmtId="0" fontId="24" fillId="0" borderId="0" xfId="0" applyFont="1" applyAlignment="1">
      <alignment vertical="center" wrapText="1"/>
    </xf>
    <xf numFmtId="0" fontId="17" fillId="0" borderId="0" xfId="5" applyFont="1" applyAlignment="1">
      <alignment vertical="center"/>
    </xf>
    <xf numFmtId="0" fontId="14" fillId="0" borderId="0" xfId="5" applyFont="1" applyAlignment="1">
      <alignment vertical="center"/>
    </xf>
    <xf numFmtId="4" fontId="11" fillId="0" borderId="0" xfId="15" applyNumberFormat="1" applyFont="1" applyFill="1" applyBorder="1" applyAlignment="1" applyProtection="1">
      <alignment horizontal="right" vertical="center"/>
      <protection locked="0"/>
    </xf>
    <xf numFmtId="0" fontId="18" fillId="0" borderId="0" xfId="12" applyFont="1" applyAlignment="1">
      <alignment vertical="center"/>
    </xf>
    <xf numFmtId="0" fontId="11" fillId="0" borderId="0" xfId="15" applyFont="1" applyAlignment="1">
      <alignment vertical="center"/>
    </xf>
    <xf numFmtId="0" fontId="16" fillId="0" borderId="0" xfId="5" applyFont="1" applyFill="1" applyAlignment="1">
      <alignment vertical="center"/>
    </xf>
    <xf numFmtId="4" fontId="16" fillId="0" borderId="0" xfId="5" applyNumberFormat="1" applyFont="1" applyFill="1" applyAlignment="1">
      <alignment vertical="center"/>
    </xf>
    <xf numFmtId="0" fontId="55" fillId="0" borderId="0" xfId="37" applyFont="1" applyFill="1" applyBorder="1" applyAlignment="1" applyProtection="1">
      <alignment vertical="center"/>
      <protection locked="0"/>
    </xf>
    <xf numFmtId="0" fontId="34" fillId="0" borderId="0" xfId="37" applyFont="1" applyFill="1" applyBorder="1" applyAlignment="1" applyProtection="1">
      <alignment vertical="center"/>
      <protection locked="0"/>
    </xf>
    <xf numFmtId="0" fontId="33" fillId="0" borderId="0" xfId="37" applyFont="1" applyBorder="1" applyAlignment="1" applyProtection="1">
      <alignment vertical="center"/>
      <protection locked="0"/>
    </xf>
    <xf numFmtId="0" fontId="33" fillId="0" borderId="0" xfId="37" applyFont="1" applyBorder="1" applyAlignment="1" applyProtection="1">
      <alignment horizontal="center" vertical="center"/>
      <protection locked="0"/>
    </xf>
    <xf numFmtId="0" fontId="59" fillId="0" borderId="23" xfId="37" applyFont="1" applyBorder="1" applyAlignment="1">
      <alignment horizontal="center" vertical="center" wrapText="1"/>
    </xf>
    <xf numFmtId="0" fontId="19" fillId="0" borderId="48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23" xfId="37" applyFont="1" applyBorder="1" applyAlignment="1">
      <alignment horizontal="center" vertical="center" wrapText="1"/>
    </xf>
    <xf numFmtId="0" fontId="19" fillId="0" borderId="24" xfId="37" applyFont="1" applyBorder="1" applyAlignment="1">
      <alignment horizontal="center" vertical="center" wrapText="1"/>
    </xf>
    <xf numFmtId="0" fontId="33" fillId="0" borderId="20" xfId="37" applyFont="1" applyBorder="1" applyAlignment="1">
      <alignment horizontal="center" vertical="center"/>
    </xf>
    <xf numFmtId="0" fontId="33" fillId="0" borderId="3" xfId="37" applyFont="1" applyBorder="1" applyAlignment="1">
      <alignment horizontal="center" vertical="center"/>
    </xf>
    <xf numFmtId="2" fontId="33" fillId="0" borderId="3" xfId="37" applyNumberFormat="1" applyFont="1" applyBorder="1" applyAlignment="1">
      <alignment horizontal="center" vertical="center"/>
    </xf>
    <xf numFmtId="0" fontId="33" fillId="0" borderId="21" xfId="37" applyFont="1" applyBorder="1" applyAlignment="1">
      <alignment horizontal="center" vertical="center"/>
    </xf>
    <xf numFmtId="0" fontId="34" fillId="0" borderId="37" xfId="37" applyFont="1" applyBorder="1" applyAlignment="1" applyProtection="1">
      <alignment horizontal="center" vertical="center" wrapText="1"/>
      <protection locked="0"/>
    </xf>
    <xf numFmtId="0" fontId="34" fillId="0" borderId="37" xfId="37" applyFont="1" applyFill="1" applyBorder="1" applyAlignment="1" applyProtection="1">
      <alignment horizontal="center" vertical="center"/>
      <protection locked="0"/>
    </xf>
    <xf numFmtId="0" fontId="34" fillId="0" borderId="37" xfId="37" applyFont="1" applyBorder="1" applyAlignment="1">
      <alignment horizontal="center" vertical="center" wrapText="1"/>
    </xf>
    <xf numFmtId="0" fontId="34" fillId="0" borderId="37" xfId="37" applyFont="1" applyBorder="1" applyAlignment="1">
      <alignment horizontal="center" vertical="center"/>
    </xf>
    <xf numFmtId="0" fontId="33" fillId="0" borderId="0" xfId="37" applyFont="1" applyAlignment="1">
      <alignment horizontal="center" vertical="center"/>
    </xf>
    <xf numFmtId="0" fontId="33" fillId="0" borderId="14" xfId="37" applyFont="1" applyBorder="1" applyAlignment="1">
      <alignment horizontal="center" vertical="center"/>
    </xf>
    <xf numFmtId="0" fontId="33" fillId="0" borderId="6" xfId="37" applyFont="1" applyBorder="1" applyAlignment="1">
      <alignment horizontal="center" vertical="center"/>
    </xf>
    <xf numFmtId="2" fontId="33" fillId="0" borderId="6" xfId="37" applyNumberFormat="1" applyFont="1" applyBorder="1" applyAlignment="1">
      <alignment horizontal="center" vertical="center"/>
    </xf>
    <xf numFmtId="166" fontId="34" fillId="0" borderId="45" xfId="37" applyNumberFormat="1" applyFont="1" applyBorder="1" applyAlignment="1">
      <alignment horizontal="center" vertical="center"/>
    </xf>
    <xf numFmtId="0" fontId="49" fillId="0" borderId="0" xfId="37" applyFont="1" applyAlignment="1">
      <alignment vertical="center"/>
    </xf>
    <xf numFmtId="0" fontId="49" fillId="0" borderId="0" xfId="37" applyFont="1" applyBorder="1" applyAlignment="1">
      <alignment vertical="center"/>
    </xf>
    <xf numFmtId="0" fontId="53" fillId="0" borderId="0" xfId="37" applyFont="1" applyAlignment="1">
      <alignment vertical="center"/>
    </xf>
    <xf numFmtId="0" fontId="33" fillId="0" borderId="0" xfId="37" applyFont="1" applyAlignment="1">
      <alignment vertical="center"/>
    </xf>
    <xf numFmtId="0" fontId="33" fillId="0" borderId="0" xfId="37" applyFont="1" applyAlignment="1">
      <alignment horizontal="left" vertical="center"/>
    </xf>
    <xf numFmtId="0" fontId="49" fillId="0" borderId="0" xfId="37" applyFont="1" applyAlignment="1">
      <alignment horizontal="right" vertical="center"/>
    </xf>
    <xf numFmtId="0" fontId="55" fillId="0" borderId="0" xfId="37" applyFont="1" applyFill="1" applyAlignment="1">
      <alignment vertical="center"/>
    </xf>
    <xf numFmtId="2" fontId="34" fillId="0" borderId="0" xfId="37" applyNumberFormat="1" applyFont="1" applyFill="1" applyAlignment="1">
      <alignment horizontal="center" vertical="center" wrapText="1"/>
    </xf>
    <xf numFmtId="0" fontId="33" fillId="0" borderId="0" xfId="37" applyFont="1" applyFill="1" applyAlignment="1">
      <alignment vertical="center"/>
    </xf>
    <xf numFmtId="0" fontId="33" fillId="0" borderId="0" xfId="37" applyFont="1" applyBorder="1" applyAlignment="1">
      <alignment vertical="center"/>
    </xf>
    <xf numFmtId="0" fontId="38" fillId="0" borderId="0" xfId="37" applyFont="1" applyBorder="1" applyAlignment="1">
      <alignment vertical="center"/>
    </xf>
    <xf numFmtId="0" fontId="35" fillId="0" borderId="0" xfId="37" applyFont="1" applyAlignment="1">
      <alignment horizontal="center" vertical="center" wrapText="1"/>
    </xf>
    <xf numFmtId="0" fontId="33" fillId="0" borderId="3" xfId="37" applyFont="1" applyBorder="1" applyAlignment="1">
      <alignment vertical="center"/>
    </xf>
    <xf numFmtId="0" fontId="38" fillId="0" borderId="0" xfId="37" applyFont="1" applyAlignment="1">
      <alignment vertical="center"/>
    </xf>
    <xf numFmtId="0" fontId="33" fillId="0" borderId="52" xfId="37" applyFont="1" applyBorder="1" applyAlignment="1">
      <alignment horizontal="center" vertical="center"/>
    </xf>
    <xf numFmtId="0" fontId="33" fillId="0" borderId="65" xfId="37" applyFont="1" applyBorder="1" applyAlignment="1">
      <alignment horizontal="center" vertical="center"/>
    </xf>
    <xf numFmtId="0" fontId="33" fillId="0" borderId="17" xfId="37" applyFont="1" applyBorder="1" applyAlignment="1">
      <alignment horizontal="center" vertical="center"/>
    </xf>
    <xf numFmtId="2" fontId="33" fillId="0" borderId="17" xfId="37" applyNumberFormat="1" applyFont="1" applyBorder="1" applyAlignment="1">
      <alignment horizontal="center" vertical="center"/>
    </xf>
    <xf numFmtId="9" fontId="33" fillId="0" borderId="17" xfId="38" applyFont="1" applyBorder="1" applyAlignment="1" applyProtection="1">
      <alignment horizontal="center" vertical="center"/>
    </xf>
    <xf numFmtId="166" fontId="33" fillId="0" borderId="17" xfId="37" applyNumberFormat="1" applyFont="1" applyBorder="1" applyAlignment="1">
      <alignment horizontal="center" vertical="center"/>
    </xf>
    <xf numFmtId="4" fontId="33" fillId="0" borderId="41" xfId="37" applyNumberFormat="1" applyFont="1" applyBorder="1" applyAlignment="1">
      <alignment horizontal="center" vertical="center"/>
    </xf>
    <xf numFmtId="0" fontId="60" fillId="0" borderId="0" xfId="37" applyFont="1" applyAlignment="1">
      <alignment vertical="center"/>
    </xf>
    <xf numFmtId="0" fontId="33" fillId="0" borderId="6" xfId="37" applyFont="1" applyBorder="1" applyAlignment="1">
      <alignment vertical="center"/>
    </xf>
    <xf numFmtId="0" fontId="19" fillId="0" borderId="60" xfId="37" applyFont="1" applyBorder="1" applyAlignment="1">
      <alignment horizontal="center" vertical="center"/>
    </xf>
    <xf numFmtId="0" fontId="19" fillId="0" borderId="62" xfId="37" applyFont="1" applyBorder="1" applyAlignment="1">
      <alignment horizontal="center" vertical="center" wrapText="1"/>
    </xf>
    <xf numFmtId="0" fontId="19" fillId="0" borderId="61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1" fontId="33" fillId="0" borderId="17" xfId="37" applyNumberFormat="1" applyFont="1" applyBorder="1" applyAlignment="1">
      <alignment horizontal="center" vertical="center"/>
    </xf>
    <xf numFmtId="0" fontId="19" fillId="0" borderId="0" xfId="37" applyFont="1" applyBorder="1" applyAlignment="1">
      <alignment horizontal="center" vertical="center" wrapText="1"/>
    </xf>
    <xf numFmtId="9" fontId="33" fillId="0" borderId="0" xfId="38" applyFont="1" applyBorder="1" applyAlignment="1" applyProtection="1">
      <alignment horizontal="center" vertical="center"/>
    </xf>
    <xf numFmtId="2" fontId="33" fillId="0" borderId="0" xfId="37" applyNumberFormat="1" applyFont="1" applyBorder="1" applyAlignment="1">
      <alignment horizontal="center" vertical="center"/>
    </xf>
    <xf numFmtId="0" fontId="33" fillId="0" borderId="0" xfId="37" applyFont="1" applyBorder="1" applyAlignment="1">
      <alignment horizontal="center" vertical="center"/>
    </xf>
    <xf numFmtId="166" fontId="33" fillId="0" borderId="0" xfId="37" applyNumberFormat="1" applyFont="1" applyBorder="1" applyAlignment="1">
      <alignment horizontal="center" vertical="center"/>
    </xf>
    <xf numFmtId="4" fontId="33" fillId="0" borderId="0" xfId="37" applyNumberFormat="1" applyFont="1" applyBorder="1" applyAlignment="1">
      <alignment horizontal="center" vertical="center"/>
    </xf>
    <xf numFmtId="4" fontId="33" fillId="0" borderId="41" xfId="38" applyNumberFormat="1" applyFont="1" applyBorder="1" applyAlignment="1" applyProtection="1">
      <alignment horizontal="center"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4" fontId="11" fillId="0" borderId="0" xfId="0" applyNumberFormat="1" applyFont="1" applyFill="1" applyBorder="1" applyAlignment="1" applyProtection="1">
      <alignment vertical="center" wrapText="1"/>
      <protection locked="0"/>
    </xf>
    <xf numFmtId="0" fontId="34" fillId="0" borderId="4" xfId="0" applyFont="1" applyFill="1" applyBorder="1" applyAlignment="1" applyProtection="1">
      <alignment horizontal="left" vertical="top" wrapText="1"/>
      <protection locked="0"/>
    </xf>
    <xf numFmtId="0" fontId="34" fillId="0" borderId="4" xfId="0" applyFont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top" wrapText="1"/>
      <protection locked="0"/>
    </xf>
    <xf numFmtId="3" fontId="33" fillId="0" borderId="4" xfId="0" applyNumberFormat="1" applyFont="1" applyFill="1" applyBorder="1" applyAlignment="1">
      <alignment horizontal="left" vertical="center"/>
    </xf>
    <xf numFmtId="0" fontId="33" fillId="0" borderId="17" xfId="0" applyFont="1" applyFill="1" applyBorder="1" applyAlignment="1" applyProtection="1">
      <alignment horizontal="right" vertical="top" wrapText="1"/>
      <protection locked="0"/>
    </xf>
    <xf numFmtId="4" fontId="33" fillId="0" borderId="17" xfId="0" applyNumberFormat="1" applyFont="1" applyFill="1" applyBorder="1" applyAlignment="1">
      <alignment horizontal="left" vertical="center"/>
    </xf>
    <xf numFmtId="0" fontId="34" fillId="0" borderId="17" xfId="0" applyFont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>
      <alignment horizontal="left"/>
    </xf>
    <xf numFmtId="3" fontId="33" fillId="0" borderId="17" xfId="0" applyNumberFormat="1" applyFont="1" applyFill="1" applyBorder="1" applyAlignment="1">
      <alignment horizontal="left" vertical="center"/>
    </xf>
    <xf numFmtId="4" fontId="34" fillId="0" borderId="4" xfId="0" applyNumberFormat="1" applyFont="1" applyFill="1" applyBorder="1" applyAlignment="1">
      <alignment horizontal="center" vertical="center"/>
    </xf>
    <xf numFmtId="0" fontId="38" fillId="0" borderId="54" xfId="0" applyFont="1" applyFill="1" applyBorder="1" applyAlignment="1" applyProtection="1">
      <alignment vertical="top" wrapText="1"/>
      <protection locked="0"/>
    </xf>
    <xf numFmtId="0" fontId="34" fillId="0" borderId="3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25" fillId="0" borderId="3" xfId="3" quotePrefix="1" applyFont="1" applyFill="1" applyBorder="1" applyAlignment="1">
      <alignment horizontal="left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34" fillId="0" borderId="0" xfId="0" applyFont="1" applyBorder="1" applyAlignment="1" applyProtection="1">
      <alignment horizontal="center" vertical="center"/>
      <protection locked="0"/>
    </xf>
    <xf numFmtId="0" fontId="34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0" fontId="51" fillId="0" borderId="0" xfId="0" applyFont="1" applyBorder="1" applyAlignment="1" applyProtection="1">
      <alignment horizontal="left" vertical="center"/>
      <protection locked="0"/>
    </xf>
    <xf numFmtId="0" fontId="61" fillId="0" borderId="0" xfId="0" applyFont="1" applyBorder="1" applyAlignment="1" applyProtection="1">
      <alignment horizontal="left" vertical="center"/>
      <protection locked="0"/>
    </xf>
    <xf numFmtId="0" fontId="51" fillId="0" borderId="0" xfId="0" applyFont="1" applyBorder="1" applyAlignment="1" applyProtection="1">
      <alignment horizontal="center" vertical="center"/>
      <protection locked="0"/>
    </xf>
    <xf numFmtId="2" fontId="33" fillId="0" borderId="0" xfId="0" applyNumberFormat="1" applyFont="1" applyBorder="1" applyAlignment="1" applyProtection="1">
      <alignment horizontal="center" vertical="center"/>
      <protection locked="0"/>
    </xf>
    <xf numFmtId="0" fontId="51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 applyProtection="1">
      <alignment horizontal="center" vertical="center"/>
      <protection locked="0"/>
    </xf>
    <xf numFmtId="0" fontId="20" fillId="0" borderId="25" xfId="0" applyFont="1" applyBorder="1" applyAlignment="1" applyProtection="1">
      <alignment horizontal="center" vertical="center" wrapText="1"/>
      <protection locked="0"/>
    </xf>
    <xf numFmtId="4" fontId="20" fillId="0" borderId="25" xfId="0" applyNumberFormat="1" applyFont="1" applyBorder="1" applyAlignment="1" applyProtection="1">
      <alignment horizontal="center" vertical="center" wrapText="1"/>
      <protection locked="0"/>
    </xf>
    <xf numFmtId="2" fontId="20" fillId="0" borderId="25" xfId="0" applyNumberFormat="1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4" fontId="40" fillId="0" borderId="0" xfId="0" applyNumberFormat="1" applyFont="1" applyFill="1" applyBorder="1" applyAlignment="1" applyProtection="1">
      <alignment vertical="center"/>
      <protection locked="0"/>
    </xf>
    <xf numFmtId="0" fontId="33" fillId="0" borderId="11" xfId="0" applyFont="1" applyFill="1" applyBorder="1" applyAlignment="1">
      <alignment vertical="center" wrapText="1"/>
    </xf>
    <xf numFmtId="3" fontId="33" fillId="0" borderId="11" xfId="1" applyNumberFormat="1" applyFont="1" applyFill="1" applyBorder="1" applyAlignment="1" applyProtection="1">
      <alignment horizontal="center" vertical="center"/>
      <protection locked="0"/>
    </xf>
    <xf numFmtId="0" fontId="33" fillId="0" borderId="11" xfId="0" applyFont="1" applyBorder="1" applyAlignment="1" applyProtection="1">
      <alignment horizontal="left" vertical="center" wrapText="1"/>
      <protection locked="0"/>
    </xf>
    <xf numFmtId="167" fontId="33" fillId="0" borderId="11" xfId="0" applyNumberFormat="1" applyFont="1" applyBorder="1" applyAlignment="1" applyProtection="1">
      <alignment horizontal="center" vertical="center"/>
      <protection locked="0"/>
    </xf>
    <xf numFmtId="2" fontId="10" fillId="0" borderId="11" xfId="0" applyNumberFormat="1" applyFont="1" applyFill="1" applyBorder="1" applyAlignment="1" applyProtection="1">
      <alignment horizontal="center" vertical="center"/>
      <protection locked="0"/>
    </xf>
    <xf numFmtId="4" fontId="33" fillId="0" borderId="42" xfId="0" applyNumberFormat="1" applyFont="1" applyFill="1" applyBorder="1" applyAlignment="1">
      <alignment horizontal="right" vertical="center"/>
    </xf>
    <xf numFmtId="3" fontId="33" fillId="0" borderId="4" xfId="0" applyNumberFormat="1" applyFont="1" applyFill="1" applyBorder="1" applyAlignment="1" applyProtection="1">
      <alignment horizontal="left" vertical="center"/>
      <protection locked="0"/>
    </xf>
    <xf numFmtId="3" fontId="33" fillId="0" borderId="4" xfId="1" applyNumberFormat="1" applyFont="1" applyFill="1" applyBorder="1" applyAlignment="1" applyProtection="1">
      <alignment horizontal="center" vertical="center"/>
      <protection locked="0"/>
    </xf>
    <xf numFmtId="0" fontId="33" fillId="0" borderId="4" xfId="0" applyFont="1" applyBorder="1" applyAlignment="1" applyProtection="1">
      <alignment horizontal="left" vertical="center" wrapText="1"/>
      <protection locked="0"/>
    </xf>
    <xf numFmtId="2" fontId="10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36" xfId="0" applyNumberFormat="1" applyFont="1" applyFill="1" applyBorder="1" applyAlignment="1">
      <alignment horizontal="center" vertical="center"/>
    </xf>
    <xf numFmtId="0" fontId="33" fillId="0" borderId="6" xfId="0" applyFont="1" applyFill="1" applyBorder="1" applyAlignment="1" applyProtection="1">
      <alignment horizontal="right" vertical="center" wrapText="1"/>
      <protection locked="0"/>
    </xf>
    <xf numFmtId="3" fontId="33" fillId="0" borderId="6" xfId="0" applyNumberFormat="1" applyFont="1" applyFill="1" applyBorder="1" applyAlignment="1" applyProtection="1">
      <alignment horizontal="left" vertical="center"/>
      <protection locked="0"/>
    </xf>
    <xf numFmtId="3" fontId="33" fillId="0" borderId="6" xfId="1" applyNumberFormat="1" applyFont="1" applyFill="1" applyBorder="1" applyAlignment="1" applyProtection="1">
      <alignment horizontal="center" vertical="center"/>
      <protection locked="0"/>
    </xf>
    <xf numFmtId="0" fontId="33" fillId="0" borderId="6" xfId="0" applyFont="1" applyBorder="1" applyAlignment="1" applyProtection="1">
      <alignment horizontal="left" vertical="center" wrapText="1"/>
      <protection locked="0"/>
    </xf>
    <xf numFmtId="167" fontId="33" fillId="0" borderId="6" xfId="0" applyNumberFormat="1" applyFont="1" applyBorder="1" applyAlignment="1" applyProtection="1">
      <alignment horizontal="center" vertical="center"/>
      <protection locked="0"/>
    </xf>
    <xf numFmtId="2" fontId="10" fillId="0" borderId="6" xfId="0" applyNumberFormat="1" applyFont="1" applyFill="1" applyBorder="1" applyAlignment="1" applyProtection="1">
      <alignment horizontal="center" vertical="center"/>
      <protection locked="0"/>
    </xf>
    <xf numFmtId="4" fontId="33" fillId="0" borderId="66" xfId="0" applyNumberFormat="1" applyFont="1" applyFill="1" applyBorder="1" applyAlignment="1">
      <alignment horizontal="center" vertical="center"/>
    </xf>
    <xf numFmtId="0" fontId="34" fillId="0" borderId="7" xfId="0" applyFont="1" applyFill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vertical="center" wrapText="1"/>
      <protection locked="0"/>
    </xf>
    <xf numFmtId="4" fontId="33" fillId="0" borderId="44" xfId="0" applyNumberFormat="1" applyFont="1" applyFill="1" applyBorder="1" applyAlignment="1" applyProtection="1">
      <alignment horizontal="right" vertical="center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4" fontId="33" fillId="0" borderId="4" xfId="0" applyNumberFormat="1" applyFont="1" applyBorder="1" applyAlignment="1" applyProtection="1">
      <alignment horizontal="center" vertical="center"/>
      <protection locked="0"/>
    </xf>
    <xf numFmtId="2" fontId="33" fillId="0" borderId="4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Fill="1" applyBorder="1" applyAlignment="1">
      <alignment horizontal="right" vertical="center"/>
    </xf>
    <xf numFmtId="0" fontId="33" fillId="0" borderId="4" xfId="0" applyFont="1" applyBorder="1" applyAlignment="1">
      <alignment vertical="center"/>
    </xf>
    <xf numFmtId="4" fontId="33" fillId="0" borderId="36" xfId="0" applyNumberFormat="1" applyFont="1" applyBorder="1" applyAlignment="1" applyProtection="1">
      <alignment vertical="center"/>
    </xf>
    <xf numFmtId="3" fontId="33" fillId="0" borderId="17" xfId="0" applyNumberFormat="1" applyFont="1" applyFill="1" applyBorder="1" applyAlignment="1" applyProtection="1">
      <alignment horizontal="left" vertical="center"/>
      <protection locked="0"/>
    </xf>
    <xf numFmtId="3" fontId="33" fillId="0" borderId="17" xfId="1" applyNumberFormat="1" applyFont="1" applyFill="1" applyBorder="1" applyAlignment="1" applyProtection="1">
      <alignment horizontal="center" vertical="center"/>
      <protection locked="0"/>
    </xf>
    <xf numFmtId="2" fontId="10" fillId="0" borderId="17" xfId="0" applyNumberFormat="1" applyFont="1" applyFill="1" applyBorder="1" applyAlignment="1" applyProtection="1">
      <alignment horizontal="center" vertical="center"/>
      <protection locked="0"/>
    </xf>
    <xf numFmtId="4" fontId="33" fillId="0" borderId="41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34" fillId="0" borderId="7" xfId="0" applyFont="1" applyBorder="1" applyAlignment="1" applyProtection="1">
      <alignment horizontal="left" vertical="center" wrapText="1"/>
      <protection locked="0"/>
    </xf>
    <xf numFmtId="0" fontId="33" fillId="0" borderId="7" xfId="0" applyFont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center" vertical="center"/>
      <protection locked="0"/>
    </xf>
    <xf numFmtId="0" fontId="33" fillId="0" borderId="7" xfId="0" applyFont="1" applyBorder="1" applyAlignment="1" applyProtection="1">
      <alignment horizontal="left" vertical="center" wrapText="1"/>
      <protection locked="0"/>
    </xf>
    <xf numFmtId="2" fontId="33" fillId="0" borderId="7" xfId="0" applyNumberFormat="1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4" fontId="33" fillId="0" borderId="44" xfId="0" applyNumberFormat="1" applyFont="1" applyBorder="1" applyAlignment="1" applyProtection="1">
      <alignment horizontal="right" vertical="center"/>
    </xf>
    <xf numFmtId="4" fontId="33" fillId="0" borderId="4" xfId="0" applyNumberFormat="1" applyFont="1" applyBorder="1" applyAlignment="1" applyProtection="1">
      <alignment horizontal="center" vertical="center" wrapText="1"/>
      <protection locked="0"/>
    </xf>
    <xf numFmtId="0" fontId="34" fillId="0" borderId="4" xfId="15" applyFont="1" applyFill="1" applyBorder="1" applyAlignment="1" applyProtection="1">
      <alignment vertical="center" wrapText="1"/>
      <protection locked="0"/>
    </xf>
    <xf numFmtId="2" fontId="33" fillId="0" borderId="4" xfId="15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4" fontId="33" fillId="0" borderId="36" xfId="0" applyNumberFormat="1" applyFont="1" applyBorder="1" applyAlignment="1" applyProtection="1">
      <alignment horizontal="right" vertical="center"/>
    </xf>
    <xf numFmtId="0" fontId="33" fillId="0" borderId="4" xfId="0" applyFont="1" applyBorder="1" applyAlignment="1" applyProtection="1">
      <alignment horizontal="right" vertical="center" wrapText="1"/>
      <protection locked="0"/>
    </xf>
    <xf numFmtId="4" fontId="33" fillId="0" borderId="36" xfId="0" applyNumberFormat="1" applyFont="1" applyBorder="1" applyAlignment="1" applyProtection="1">
      <alignment horizontal="right" vertical="center"/>
      <protection locked="0"/>
    </xf>
    <xf numFmtId="0" fontId="33" fillId="0" borderId="6" xfId="0" applyFont="1" applyBorder="1" applyAlignment="1">
      <alignment vertical="center"/>
    </xf>
    <xf numFmtId="4" fontId="33" fillId="0" borderId="6" xfId="0" applyNumberFormat="1" applyFont="1" applyBorder="1" applyAlignment="1" applyProtection="1">
      <alignment horizontal="center" vertical="center"/>
      <protection locked="0"/>
    </xf>
    <xf numFmtId="0" fontId="34" fillId="0" borderId="6" xfId="0" applyFont="1" applyBorder="1" applyAlignment="1" applyProtection="1">
      <alignment horizontal="left" vertical="center" wrapText="1"/>
      <protection locked="0"/>
    </xf>
    <xf numFmtId="2" fontId="33" fillId="0" borderId="6" xfId="0" applyNumberFormat="1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4" fontId="33" fillId="0" borderId="66" xfId="0" applyNumberFormat="1" applyFont="1" applyBorder="1" applyAlignment="1" applyProtection="1">
      <alignment horizontal="right" vertical="center"/>
      <protection locked="0"/>
    </xf>
    <xf numFmtId="0" fontId="10" fillId="0" borderId="4" xfId="0" applyFont="1" applyBorder="1" applyAlignment="1" applyProtection="1">
      <alignment vertical="center" wrapText="1"/>
      <protection locked="0"/>
    </xf>
    <xf numFmtId="4" fontId="33" fillId="0" borderId="36" xfId="0" applyNumberFormat="1" applyFont="1" applyBorder="1" applyAlignment="1" applyProtection="1">
      <alignment horizontal="center" vertical="center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right" vertical="center" wrapText="1"/>
      <protection locked="0"/>
    </xf>
    <xf numFmtId="0" fontId="33" fillId="0" borderId="17" xfId="0" applyFont="1" applyBorder="1" applyAlignment="1" applyProtection="1">
      <alignment horizontal="center" vertical="center" wrapText="1"/>
      <protection locked="0"/>
    </xf>
    <xf numFmtId="4" fontId="33" fillId="0" borderId="17" xfId="0" applyNumberFormat="1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left" vertical="center" wrapText="1"/>
      <protection locked="0"/>
    </xf>
    <xf numFmtId="2" fontId="33" fillId="0" borderId="17" xfId="0" applyNumberFormat="1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Border="1" applyAlignment="1" applyProtection="1">
      <alignment horizontal="center" vertical="center"/>
      <protection locked="0"/>
    </xf>
    <xf numFmtId="0" fontId="33" fillId="0" borderId="10" xfId="0" applyFont="1" applyBorder="1" applyAlignment="1" applyProtection="1">
      <alignment horizontal="center" vertical="center"/>
      <protection locked="0"/>
    </xf>
    <xf numFmtId="4" fontId="34" fillId="0" borderId="9" xfId="0" applyNumberFormat="1" applyFont="1" applyBorder="1" applyAlignment="1" applyProtection="1">
      <alignment horizontal="right" vertical="center"/>
      <protection locked="0"/>
    </xf>
    <xf numFmtId="4" fontId="19" fillId="0" borderId="0" xfId="0" applyNumberFormat="1" applyFont="1" applyAlignment="1">
      <alignment vertical="center"/>
    </xf>
    <xf numFmtId="0" fontId="34" fillId="0" borderId="11" xfId="0" applyFont="1" applyFill="1" applyBorder="1" applyAlignment="1">
      <alignment vertical="center" wrapText="1"/>
    </xf>
    <xf numFmtId="0" fontId="34" fillId="0" borderId="11" xfId="0" applyFont="1" applyFill="1" applyBorder="1" applyAlignment="1" applyProtection="1">
      <alignment horizontal="center" vertical="center" wrapText="1"/>
      <protection locked="0"/>
    </xf>
    <xf numFmtId="0" fontId="34" fillId="0" borderId="11" xfId="0" applyFont="1" applyBorder="1" applyAlignment="1" applyProtection="1">
      <alignment horizontal="left" vertical="center" wrapText="1"/>
      <protection locked="0"/>
    </xf>
    <xf numFmtId="2" fontId="33" fillId="0" borderId="11" xfId="0" applyNumberFormat="1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0" fontId="62" fillId="0" borderId="4" xfId="0" applyFont="1" applyFill="1" applyBorder="1" applyAlignment="1" applyProtection="1">
      <alignment vertical="center" wrapText="1"/>
      <protection locked="0"/>
    </xf>
    <xf numFmtId="2" fontId="51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36" xfId="0" applyNumberFormat="1" applyFont="1" applyFill="1" applyBorder="1" applyAlignment="1">
      <alignment horizontal="right" vertical="center"/>
    </xf>
    <xf numFmtId="0" fontId="34" fillId="0" borderId="6" xfId="0" applyFont="1" applyFill="1" applyBorder="1" applyAlignment="1" applyProtection="1">
      <alignment vertical="center" wrapText="1"/>
      <protection locked="0"/>
    </xf>
    <xf numFmtId="2" fontId="33" fillId="0" borderId="6" xfId="0" applyNumberFormat="1" applyFont="1" applyFill="1" applyBorder="1" applyAlignment="1" applyProtection="1">
      <alignment horizontal="center" vertical="center"/>
      <protection locked="0"/>
    </xf>
    <xf numFmtId="4" fontId="33" fillId="0" borderId="66" xfId="0" applyNumberFormat="1" applyFont="1" applyFill="1" applyBorder="1" applyAlignment="1">
      <alignment horizontal="right" vertical="center"/>
    </xf>
    <xf numFmtId="0" fontId="33" fillId="0" borderId="4" xfId="0" applyFont="1" applyFill="1" applyBorder="1" applyAlignment="1">
      <alignment vertical="center" wrapText="1"/>
    </xf>
    <xf numFmtId="2" fontId="33" fillId="0" borderId="4" xfId="15" applyNumberFormat="1" applyFont="1" applyBorder="1" applyAlignment="1" applyProtection="1">
      <alignment horizontal="center" vertical="center"/>
      <protection locked="0"/>
    </xf>
    <xf numFmtId="2" fontId="10" fillId="0" borderId="4" xfId="15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horizontal="left" vertical="center" wrapText="1"/>
    </xf>
    <xf numFmtId="0" fontId="33" fillId="0" borderId="4" xfId="0" applyFont="1" applyFill="1" applyBorder="1" applyAlignment="1" applyProtection="1">
      <alignment horizontal="center" vertical="center"/>
      <protection locked="0"/>
    </xf>
    <xf numFmtId="2" fontId="54" fillId="0" borderId="4" xfId="15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15" applyFont="1" applyFill="1" applyBorder="1" applyAlignment="1">
      <alignment horizontal="center" vertical="center"/>
    </xf>
    <xf numFmtId="4" fontId="54" fillId="0" borderId="36" xfId="15" applyNumberFormat="1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left" vertical="center"/>
    </xf>
    <xf numFmtId="0" fontId="33" fillId="0" borderId="17" xfId="0" applyFont="1" applyFill="1" applyBorder="1" applyAlignment="1">
      <alignment horizontal="center" vertical="center"/>
    </xf>
    <xf numFmtId="170" fontId="33" fillId="0" borderId="17" xfId="1" applyNumberFormat="1" applyFont="1" applyFill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Fill="1" applyBorder="1" applyAlignment="1">
      <alignment horizontal="right" vertical="center"/>
    </xf>
    <xf numFmtId="0" fontId="33" fillId="0" borderId="27" xfId="0" applyFont="1" applyFill="1" applyBorder="1" applyAlignment="1" applyProtection="1">
      <alignment vertical="center"/>
      <protection locked="0"/>
    </xf>
    <xf numFmtId="0" fontId="33" fillId="0" borderId="27" xfId="0" applyFont="1" applyFill="1" applyBorder="1" applyAlignment="1" applyProtection="1">
      <alignment horizontal="center" vertical="center"/>
      <protection locked="0"/>
    </xf>
    <xf numFmtId="0" fontId="11" fillId="0" borderId="27" xfId="0" applyFont="1" applyFill="1" applyBorder="1" applyAlignment="1" applyProtection="1">
      <alignment vertical="center"/>
      <protection locked="0"/>
    </xf>
    <xf numFmtId="0" fontId="34" fillId="0" borderId="11" xfId="15" applyFont="1" applyFill="1" applyBorder="1" applyAlignment="1">
      <alignment vertical="center" wrapText="1"/>
    </xf>
    <xf numFmtId="0" fontId="34" fillId="0" borderId="11" xfId="15" applyFont="1" applyFill="1" applyBorder="1" applyAlignment="1" applyProtection="1">
      <alignment horizontal="center" vertical="center" wrapText="1"/>
      <protection locked="0"/>
    </xf>
    <xf numFmtId="4" fontId="33" fillId="0" borderId="11" xfId="15" applyNumberFormat="1" applyFont="1" applyFill="1" applyBorder="1" applyAlignment="1" applyProtection="1">
      <alignment horizontal="center" vertical="center"/>
      <protection locked="0"/>
    </xf>
    <xf numFmtId="0" fontId="10" fillId="0" borderId="11" xfId="15" applyFont="1" applyFill="1" applyBorder="1" applyAlignment="1" applyProtection="1">
      <alignment horizontal="center" vertical="center" wrapText="1"/>
      <protection locked="0"/>
    </xf>
    <xf numFmtId="4" fontId="33" fillId="0" borderId="42" xfId="15" applyNumberFormat="1" applyFont="1" applyFill="1" applyBorder="1" applyAlignment="1" applyProtection="1">
      <alignment horizontal="right" vertical="center"/>
    </xf>
    <xf numFmtId="0" fontId="33" fillId="0" borderId="4" xfId="15" applyFont="1" applyFill="1" applyBorder="1" applyAlignment="1" applyProtection="1">
      <alignment horizontal="left" vertical="center" wrapText="1"/>
      <protection locked="0"/>
    </xf>
    <xf numFmtId="3" fontId="33" fillId="0" borderId="4" xfId="15" applyNumberFormat="1" applyFont="1" applyFill="1" applyBorder="1" applyAlignment="1" applyProtection="1">
      <alignment horizontal="left" vertical="center" wrapText="1"/>
      <protection locked="0"/>
    </xf>
    <xf numFmtId="4" fontId="33" fillId="0" borderId="4" xfId="15" applyNumberFormat="1" applyFont="1" applyFill="1" applyBorder="1" applyAlignment="1" applyProtection="1">
      <alignment horizontal="center" vertical="center"/>
      <protection locked="0"/>
    </xf>
    <xf numFmtId="0" fontId="34" fillId="0" borderId="4" xfId="1" applyFont="1" applyFill="1" applyBorder="1" applyAlignment="1" applyProtection="1">
      <alignment horizontal="left" vertical="center" wrapText="1"/>
      <protection locked="0"/>
    </xf>
    <xf numFmtId="170" fontId="33" fillId="0" borderId="4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4" xfId="15" applyNumberFormat="1" applyFont="1" applyFill="1" applyBorder="1" applyAlignment="1" applyProtection="1">
      <alignment horizontal="center" vertical="center"/>
      <protection locked="0"/>
    </xf>
    <xf numFmtId="0" fontId="33" fillId="0" borderId="6" xfId="15" applyFont="1" applyFill="1" applyBorder="1" applyAlignment="1" applyProtection="1">
      <alignment horizontal="right" vertical="center" wrapText="1"/>
      <protection locked="0"/>
    </xf>
    <xf numFmtId="0" fontId="33" fillId="0" borderId="6" xfId="15" applyFont="1" applyFill="1" applyBorder="1" applyAlignment="1" applyProtection="1">
      <alignment horizontal="left" vertical="center" wrapText="1"/>
      <protection locked="0"/>
    </xf>
    <xf numFmtId="4" fontId="33" fillId="0" borderId="6" xfId="15" applyNumberFormat="1" applyFont="1" applyFill="1" applyBorder="1" applyAlignment="1" applyProtection="1">
      <alignment horizontal="center" vertical="center"/>
      <protection locked="0"/>
    </xf>
    <xf numFmtId="0" fontId="34" fillId="0" borderId="6" xfId="1" applyFont="1" applyFill="1" applyBorder="1" applyAlignment="1" applyProtection="1">
      <alignment horizontal="left" vertical="center" wrapText="1"/>
      <protection locked="0"/>
    </xf>
    <xf numFmtId="170" fontId="33" fillId="0" borderId="6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6" xfId="15" applyNumberFormat="1" applyFont="1" applyFill="1" applyBorder="1" applyAlignment="1" applyProtection="1">
      <alignment horizontal="center" vertical="center"/>
      <protection locked="0"/>
    </xf>
    <xf numFmtId="4" fontId="33" fillId="0" borderId="66" xfId="15" applyNumberFormat="1" applyFont="1" applyFill="1" applyBorder="1" applyAlignment="1">
      <alignment horizontal="right" vertical="center"/>
    </xf>
    <xf numFmtId="0" fontId="34" fillId="0" borderId="7" xfId="15" applyFont="1" applyFill="1" applyBorder="1" applyAlignment="1">
      <alignment vertical="center" wrapText="1"/>
    </xf>
    <xf numFmtId="0" fontId="34" fillId="0" borderId="7" xfId="15" applyFont="1" applyFill="1" applyBorder="1" applyAlignment="1" applyProtection="1">
      <alignment horizontal="center" vertical="center" wrapText="1"/>
      <protection locked="0"/>
    </xf>
    <xf numFmtId="4" fontId="33" fillId="0" borderId="7" xfId="15" applyNumberFormat="1" applyFont="1" applyFill="1" applyBorder="1" applyAlignment="1" applyProtection="1">
      <alignment horizontal="center" vertical="center"/>
      <protection locked="0"/>
    </xf>
    <xf numFmtId="0" fontId="63" fillId="0" borderId="7" xfId="15" applyFont="1" applyBorder="1" applyAlignment="1" applyProtection="1">
      <alignment horizontal="left" vertical="center" wrapText="1"/>
      <protection locked="0"/>
    </xf>
    <xf numFmtId="2" fontId="64" fillId="0" borderId="7" xfId="15" applyNumberFormat="1" applyFont="1" applyBorder="1" applyAlignment="1" applyProtection="1">
      <alignment horizontal="center" vertical="center"/>
      <protection locked="0"/>
    </xf>
    <xf numFmtId="0" fontId="10" fillId="0" borderId="7" xfId="15" applyFont="1" applyFill="1" applyBorder="1" applyAlignment="1" applyProtection="1">
      <alignment horizontal="center" vertical="center" wrapText="1"/>
      <protection locked="0"/>
    </xf>
    <xf numFmtId="4" fontId="33" fillId="0" borderId="44" xfId="15" applyNumberFormat="1" applyFont="1" applyFill="1" applyBorder="1" applyAlignment="1" applyProtection="1">
      <alignment horizontal="right" vertical="center"/>
    </xf>
    <xf numFmtId="0" fontId="55" fillId="0" borderId="0" xfId="15" applyFont="1" applyBorder="1" applyAlignment="1" applyProtection="1">
      <alignment vertical="center"/>
      <protection locked="0"/>
    </xf>
    <xf numFmtId="0" fontId="33" fillId="0" borderId="4" xfId="1" applyFont="1" applyFill="1" applyBorder="1" applyAlignment="1" applyProtection="1">
      <alignment horizontal="left" vertical="center" wrapText="1"/>
      <protection locked="0"/>
    </xf>
    <xf numFmtId="1" fontId="33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>
      <alignment horizontal="center" vertical="center"/>
    </xf>
    <xf numFmtId="4" fontId="33" fillId="0" borderId="4" xfId="0" applyNumberFormat="1" applyFont="1" applyFill="1" applyBorder="1" applyAlignment="1">
      <alignment horizontal="center" vertical="center"/>
    </xf>
    <xf numFmtId="0" fontId="10" fillId="0" borderId="4" xfId="15" applyFont="1" applyFill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Fill="1" applyBorder="1" applyAlignment="1" applyProtection="1">
      <alignment horizontal="right" vertical="center"/>
    </xf>
    <xf numFmtId="4" fontId="55" fillId="0" borderId="0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horizontal="center" vertical="center"/>
    </xf>
    <xf numFmtId="2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>
      <alignment vertical="center"/>
    </xf>
    <xf numFmtId="0" fontId="33" fillId="0" borderId="6" xfId="0" applyFont="1" applyFill="1" applyBorder="1" applyAlignment="1">
      <alignment horizontal="right" vertical="center"/>
    </xf>
    <xf numFmtId="0" fontId="33" fillId="0" borderId="6" xfId="0" applyFont="1" applyFill="1" applyBorder="1" applyAlignment="1">
      <alignment horizontal="center" vertical="center"/>
    </xf>
    <xf numFmtId="0" fontId="34" fillId="0" borderId="6" xfId="0" applyFont="1" applyFill="1" applyBorder="1" applyAlignment="1" applyProtection="1">
      <alignment horizontal="left" vertical="center" wrapText="1"/>
      <protection locked="0"/>
    </xf>
    <xf numFmtId="2" fontId="3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>
      <alignment vertical="center"/>
    </xf>
    <xf numFmtId="0" fontId="33" fillId="0" borderId="13" xfId="15" applyFont="1" applyFill="1" applyBorder="1" applyAlignment="1" applyProtection="1">
      <alignment horizontal="center" vertical="center"/>
      <protection locked="0"/>
    </xf>
    <xf numFmtId="0" fontId="34" fillId="0" borderId="4" xfId="15" applyFont="1" applyFill="1" applyBorder="1" applyAlignment="1">
      <alignment vertical="center" wrapText="1"/>
    </xf>
    <xf numFmtId="0" fontId="34" fillId="0" borderId="4" xfId="15" applyFont="1" applyFill="1" applyBorder="1" applyAlignment="1" applyProtection="1">
      <alignment horizontal="center" vertical="center" wrapText="1"/>
      <protection locked="0"/>
    </xf>
    <xf numFmtId="0" fontId="54" fillId="0" borderId="4" xfId="15" applyFont="1" applyBorder="1" applyAlignment="1" applyProtection="1">
      <alignment horizontal="left" vertical="center" wrapText="1"/>
      <protection locked="0"/>
    </xf>
    <xf numFmtId="0" fontId="33" fillId="0" borderId="52" xfId="15" applyFont="1" applyFill="1" applyBorder="1" applyAlignment="1" applyProtection="1">
      <alignment horizontal="center" vertical="center"/>
      <protection locked="0"/>
    </xf>
    <xf numFmtId="4" fontId="33" fillId="0" borderId="66" xfId="15" applyNumberFormat="1" applyFont="1" applyBorder="1" applyAlignment="1" applyProtection="1">
      <alignment vertical="center"/>
      <protection locked="0"/>
    </xf>
    <xf numFmtId="0" fontId="19" fillId="0" borderId="10" xfId="15" applyFont="1" applyFill="1" applyBorder="1" applyAlignment="1" applyProtection="1">
      <alignment horizontal="center" vertical="center"/>
      <protection locked="0"/>
    </xf>
    <xf numFmtId="0" fontId="34" fillId="0" borderId="8" xfId="15" applyFont="1" applyFill="1" applyBorder="1" applyAlignment="1" applyProtection="1">
      <alignment vertical="center"/>
      <protection locked="0"/>
    </xf>
    <xf numFmtId="0" fontId="33" fillId="0" borderId="27" xfId="15" applyFont="1" applyFill="1" applyBorder="1" applyAlignment="1" applyProtection="1">
      <alignment vertical="center"/>
      <protection locked="0"/>
    </xf>
    <xf numFmtId="0" fontId="33" fillId="0" borderId="27" xfId="15" applyFont="1" applyFill="1" applyBorder="1" applyAlignment="1" applyProtection="1">
      <alignment horizontal="center" vertical="center"/>
      <protection locked="0"/>
    </xf>
    <xf numFmtId="0" fontId="11" fillId="0" borderId="27" xfId="15" applyFont="1" applyFill="1" applyBorder="1" applyAlignment="1" applyProtection="1">
      <alignment vertical="center"/>
      <protection locked="0"/>
    </xf>
    <xf numFmtId="4" fontId="34" fillId="0" borderId="9" xfId="15" applyNumberFormat="1" applyFont="1" applyFill="1" applyBorder="1" applyAlignment="1" applyProtection="1">
      <alignment horizontal="right" vertical="center"/>
      <protection locked="0"/>
    </xf>
    <xf numFmtId="4" fontId="19" fillId="0" borderId="0" xfId="15" applyNumberFormat="1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 applyProtection="1">
      <alignment horizontal="center" vertical="center" wrapText="1"/>
      <protection locked="0"/>
    </xf>
    <xf numFmtId="4" fontId="33" fillId="0" borderId="3" xfId="0" applyNumberFormat="1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vertical="center" wrapText="1"/>
      <protection locked="0"/>
    </xf>
    <xf numFmtId="4" fontId="33" fillId="0" borderId="22" xfId="0" applyNumberFormat="1" applyFont="1" applyFill="1" applyBorder="1" applyAlignment="1" applyProtection="1">
      <alignment horizontal="right" vertical="center"/>
      <protection locked="0"/>
    </xf>
    <xf numFmtId="0" fontId="33" fillId="0" borderId="6" xfId="0" applyFont="1" applyBorder="1" applyAlignment="1" applyProtection="1">
      <alignment horizontal="right" vertical="center" wrapText="1"/>
      <protection locked="0"/>
    </xf>
    <xf numFmtId="4" fontId="33" fillId="0" borderId="66" xfId="0" applyNumberFormat="1" applyFont="1" applyBorder="1" applyAlignment="1" applyProtection="1">
      <alignment horizontal="center" vertical="center"/>
      <protection locked="0"/>
    </xf>
    <xf numFmtId="0" fontId="19" fillId="0" borderId="10" xfId="15" applyFont="1" applyFill="1" applyBorder="1" applyAlignment="1">
      <alignment vertical="center"/>
    </xf>
    <xf numFmtId="0" fontId="19" fillId="0" borderId="10" xfId="15" applyFont="1" applyBorder="1" applyAlignment="1" applyProtection="1">
      <alignment vertical="center"/>
      <protection locked="0"/>
    </xf>
    <xf numFmtId="0" fontId="34" fillId="0" borderId="8" xfId="15" applyFont="1" applyBorder="1" applyAlignment="1" applyProtection="1">
      <alignment vertical="center"/>
      <protection locked="0"/>
    </xf>
    <xf numFmtId="0" fontId="33" fillId="0" borderId="27" xfId="15" applyFont="1" applyBorder="1" applyAlignment="1" applyProtection="1">
      <alignment vertical="center"/>
      <protection locked="0"/>
    </xf>
    <xf numFmtId="0" fontId="11" fillId="0" borderId="27" xfId="15" applyFont="1" applyBorder="1" applyAlignment="1" applyProtection="1">
      <alignment vertical="center"/>
      <protection locked="0"/>
    </xf>
    <xf numFmtId="4" fontId="34" fillId="0" borderId="9" xfId="15" applyNumberFormat="1" applyFont="1" applyBorder="1" applyAlignment="1" applyProtection="1">
      <alignment horizontal="right" vertical="center"/>
      <protection locked="0"/>
    </xf>
    <xf numFmtId="2" fontId="65" fillId="0" borderId="71" xfId="15" applyNumberFormat="1" applyFont="1" applyBorder="1" applyAlignment="1" applyProtection="1">
      <alignment horizontal="left" vertical="center"/>
      <protection locked="0"/>
    </xf>
    <xf numFmtId="2" fontId="34" fillId="0" borderId="5" xfId="15" applyNumberFormat="1" applyFont="1" applyBorder="1" applyAlignment="1" applyProtection="1">
      <alignment horizontal="left" vertical="center" wrapText="1"/>
      <protection locked="0"/>
    </xf>
    <xf numFmtId="2" fontId="33" fillId="0" borderId="5" xfId="15" applyNumberFormat="1" applyFont="1" applyBorder="1" applyAlignment="1" applyProtection="1">
      <alignment horizontal="center" vertical="center"/>
      <protection locked="0"/>
    </xf>
    <xf numFmtId="0" fontId="10" fillId="0" borderId="8" xfId="15" applyFont="1" applyBorder="1" applyAlignment="1" applyProtection="1">
      <alignment horizontal="center" vertical="center" wrapText="1"/>
      <protection locked="0"/>
    </xf>
    <xf numFmtId="4" fontId="34" fillId="0" borderId="9" xfId="15" applyNumberFormat="1" applyFont="1" applyBorder="1" applyAlignment="1" applyProtection="1">
      <alignment horizontal="right" vertical="center"/>
    </xf>
    <xf numFmtId="4" fontId="19" fillId="0" borderId="0" xfId="15" applyNumberFormat="1" applyFont="1" applyBorder="1" applyAlignment="1" applyProtection="1">
      <alignment vertical="center"/>
      <protection locked="0"/>
    </xf>
    <xf numFmtId="0" fontId="48" fillId="0" borderId="10" xfId="15" applyFont="1" applyBorder="1" applyAlignment="1" applyProtection="1">
      <alignment vertical="center"/>
      <protection locked="0"/>
    </xf>
    <xf numFmtId="2" fontId="34" fillId="2" borderId="8" xfId="15" applyNumberFormat="1" applyFont="1" applyFill="1" applyBorder="1" applyAlignment="1" applyProtection="1">
      <alignment horizontal="left" vertical="center"/>
      <protection locked="0"/>
    </xf>
    <xf numFmtId="4" fontId="33" fillId="0" borderId="27" xfId="15" applyNumberFormat="1" applyFont="1" applyBorder="1" applyAlignment="1" applyProtection="1">
      <alignment vertical="center"/>
      <protection locked="0"/>
    </xf>
    <xf numFmtId="2" fontId="33" fillId="0" borderId="27" xfId="15" applyNumberFormat="1" applyFont="1" applyBorder="1" applyAlignment="1" applyProtection="1">
      <alignment horizontal="center" vertical="center"/>
      <protection locked="0"/>
    </xf>
    <xf numFmtId="0" fontId="10" fillId="0" borderId="18" xfId="15" applyFont="1" applyBorder="1" applyAlignment="1" applyProtection="1">
      <alignment horizontal="center" vertical="center" wrapText="1"/>
      <protection locked="0"/>
    </xf>
    <xf numFmtId="4" fontId="36" fillId="0" borderId="0" xfId="15" applyNumberFormat="1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20" fillId="2" borderId="10" xfId="15" applyFont="1" applyFill="1" applyBorder="1" applyAlignment="1" applyProtection="1">
      <alignment vertical="center"/>
      <protection locked="0"/>
    </xf>
    <xf numFmtId="0" fontId="19" fillId="2" borderId="0" xfId="15" applyFont="1" applyFill="1" applyBorder="1" applyAlignment="1" applyProtection="1">
      <alignment vertical="center"/>
      <protection locked="0"/>
    </xf>
    <xf numFmtId="0" fontId="19" fillId="0" borderId="19" xfId="15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9" xfId="15" applyFont="1" applyFill="1" applyBorder="1" applyAlignment="1">
      <alignment horizontal="center" vertical="center"/>
    </xf>
    <xf numFmtId="0" fontId="10" fillId="2" borderId="18" xfId="15" applyFont="1" applyFill="1" applyBorder="1" applyAlignment="1" applyProtection="1">
      <alignment horizontal="center" vertical="center"/>
      <protection locked="0"/>
    </xf>
    <xf numFmtId="0" fontId="10" fillId="2" borderId="5" xfId="15" applyFont="1" applyFill="1" applyBorder="1" applyAlignment="1">
      <alignment vertical="center" wrapText="1"/>
    </xf>
    <xf numFmtId="0" fontId="10" fillId="2" borderId="27" xfId="15" applyFont="1" applyFill="1" applyBorder="1" applyAlignment="1" applyProtection="1">
      <alignment horizontal="center" vertical="center"/>
      <protection locked="0"/>
    </xf>
    <xf numFmtId="0" fontId="10" fillId="2" borderId="5" xfId="15" applyFont="1" applyFill="1" applyBorder="1" applyAlignment="1" applyProtection="1">
      <alignment horizontal="center" vertical="center" wrapText="1"/>
      <protection locked="0"/>
    </xf>
    <xf numFmtId="4" fontId="34" fillId="2" borderId="9" xfId="15" applyNumberFormat="1" applyFont="1" applyFill="1" applyBorder="1" applyAlignment="1" applyProtection="1">
      <alignment horizontal="right" vertical="center"/>
      <protection locked="0"/>
    </xf>
    <xf numFmtId="0" fontId="9" fillId="0" borderId="0" xfId="15" applyAlignment="1">
      <alignment vertical="center"/>
    </xf>
    <xf numFmtId="0" fontId="19" fillId="2" borderId="19" xfId="15" applyFont="1" applyFill="1" applyBorder="1" applyAlignment="1">
      <alignment vertical="center"/>
    </xf>
    <xf numFmtId="2" fontId="11" fillId="2" borderId="8" xfId="15" applyNumberFormat="1" applyFont="1" applyFill="1" applyBorder="1" applyAlignment="1" applyProtection="1">
      <alignment horizontal="left" vertical="center"/>
      <protection locked="0"/>
    </xf>
    <xf numFmtId="2" fontId="11" fillId="2" borderId="18" xfId="15" applyNumberFormat="1" applyFont="1" applyFill="1" applyBorder="1" applyAlignment="1" applyProtection="1">
      <alignment horizontal="left" vertical="center"/>
      <protection locked="0"/>
    </xf>
    <xf numFmtId="2" fontId="11" fillId="2" borderId="27" xfId="15" applyNumberFormat="1" applyFont="1" applyFill="1" applyBorder="1" applyAlignment="1" applyProtection="1">
      <alignment horizontal="left" vertical="center"/>
      <protection locked="0"/>
    </xf>
    <xf numFmtId="0" fontId="59" fillId="2" borderId="27" xfId="15" applyFont="1" applyFill="1" applyBorder="1" applyAlignment="1">
      <alignment vertical="center" wrapText="1"/>
    </xf>
    <xf numFmtId="0" fontId="10" fillId="2" borderId="8" xfId="15" applyFont="1" applyFill="1" applyBorder="1" applyAlignment="1" applyProtection="1">
      <alignment horizontal="center" vertical="center" wrapText="1"/>
      <protection locked="0"/>
    </xf>
    <xf numFmtId="0" fontId="24" fillId="0" borderId="39" xfId="3" quotePrefix="1" applyFont="1" applyBorder="1" applyAlignment="1">
      <alignment horizontal="left" vertical="center" wrapText="1"/>
    </xf>
    <xf numFmtId="0" fontId="34" fillId="0" borderId="7" xfId="15" applyFont="1" applyBorder="1" applyAlignment="1" applyProtection="1">
      <alignment horizontal="left" vertical="center" wrapText="1"/>
      <protection locked="0"/>
    </xf>
    <xf numFmtId="2" fontId="33" fillId="0" borderId="7" xfId="15" applyNumberFormat="1" applyFont="1" applyBorder="1" applyAlignment="1" applyProtection="1">
      <alignment horizontal="center" vertical="center"/>
      <protection locked="0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3" fillId="0" borderId="0" xfId="26" applyFont="1" applyFill="1" applyBorder="1" applyAlignment="1" applyProtection="1">
      <alignment vertical="center"/>
      <protection locked="0"/>
    </xf>
    <xf numFmtId="4" fontId="33" fillId="0" borderId="0" xfId="26" applyNumberFormat="1" applyFont="1" applyFill="1" applyBorder="1" applyAlignment="1" applyProtection="1">
      <alignment vertical="center"/>
      <protection locked="0"/>
    </xf>
    <xf numFmtId="2" fontId="33" fillId="0" borderId="0" xfId="26" applyNumberFormat="1" applyFont="1" applyFill="1" applyBorder="1" applyAlignment="1" applyProtection="1">
      <alignment wrapText="1"/>
      <protection locked="0"/>
    </xf>
    <xf numFmtId="0" fontId="33" fillId="0" borderId="0" xfId="26" applyFont="1" applyFill="1"/>
    <xf numFmtId="0" fontId="71" fillId="0" borderId="0" xfId="26" applyFont="1" applyFill="1" applyBorder="1" applyAlignment="1" applyProtection="1">
      <alignment vertical="center"/>
      <protection locked="0"/>
    </xf>
    <xf numFmtId="2" fontId="33" fillId="0" borderId="0" xfId="26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26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26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 applyProtection="1">
      <alignment vertical="center" wrapText="1"/>
      <protection locked="0"/>
    </xf>
    <xf numFmtId="0" fontId="73" fillId="0" borderId="0" xfId="26" applyFont="1" applyFill="1"/>
    <xf numFmtId="0" fontId="74" fillId="0" borderId="31" xfId="26" applyFont="1" applyFill="1" applyBorder="1"/>
    <xf numFmtId="0" fontId="74" fillId="0" borderId="0" xfId="26" applyFont="1" applyFill="1"/>
    <xf numFmtId="0" fontId="74" fillId="0" borderId="10" xfId="26" applyFont="1" applyFill="1" applyBorder="1"/>
    <xf numFmtId="0" fontId="74" fillId="0" borderId="27" xfId="26" applyFont="1" applyFill="1" applyBorder="1" applyAlignment="1">
      <alignment horizontal="center" vertical="center"/>
    </xf>
    <xf numFmtId="0" fontId="74" fillId="0" borderId="9" xfId="26" applyFont="1" applyFill="1" applyBorder="1" applyAlignment="1">
      <alignment horizontal="center" vertical="center" wrapText="1"/>
    </xf>
    <xf numFmtId="0" fontId="75" fillId="0" borderId="10" xfId="26" applyFont="1" applyFill="1" applyBorder="1"/>
    <xf numFmtId="0" fontId="75" fillId="0" borderId="27" xfId="17" applyFont="1" applyFill="1" applyBorder="1" applyAlignment="1">
      <alignment horizontal="left" vertical="center"/>
    </xf>
    <xf numFmtId="0" fontId="75" fillId="0" borderId="27" xfId="17" applyFont="1" applyFill="1" applyBorder="1" applyAlignment="1">
      <alignment horizontal="center" vertical="center"/>
    </xf>
    <xf numFmtId="0" fontId="75" fillId="0" borderId="26" xfId="17" applyFont="1" applyFill="1" applyBorder="1" applyAlignment="1">
      <alignment horizontal="center" vertical="center" wrapText="1"/>
    </xf>
    <xf numFmtId="0" fontId="76" fillId="0" borderId="0" xfId="26" applyFont="1" applyFill="1" applyBorder="1" applyAlignment="1" applyProtection="1">
      <alignment vertical="center"/>
      <protection locked="0"/>
    </xf>
    <xf numFmtId="0" fontId="75" fillId="0" borderId="0" xfId="26" applyFont="1" applyFill="1"/>
    <xf numFmtId="0" fontId="34" fillId="0" borderId="10" xfId="26" applyFont="1" applyFill="1" applyBorder="1" applyAlignment="1" applyProtection="1">
      <alignment vertical="center"/>
      <protection locked="0"/>
    </xf>
    <xf numFmtId="0" fontId="34" fillId="0" borderId="10" xfId="17" applyFont="1" applyFill="1" applyBorder="1" applyAlignment="1" applyProtection="1">
      <alignment vertical="center"/>
      <protection locked="0"/>
    </xf>
    <xf numFmtId="0" fontId="34" fillId="0" borderId="27" xfId="17" applyFont="1" applyFill="1" applyBorder="1" applyAlignment="1" applyProtection="1">
      <alignment vertical="center"/>
      <protection locked="0"/>
    </xf>
    <xf numFmtId="0" fontId="34" fillId="0" borderId="26" xfId="17" applyFont="1" applyFill="1" applyBorder="1" applyAlignment="1" applyProtection="1">
      <alignment vertical="center"/>
      <protection locked="0"/>
    </xf>
    <xf numFmtId="0" fontId="74" fillId="0" borderId="53" xfId="17" applyFont="1" applyFill="1" applyBorder="1"/>
    <xf numFmtId="0" fontId="74" fillId="0" borderId="54" xfId="17" applyFont="1" applyFill="1" applyBorder="1"/>
    <xf numFmtId="0" fontId="74" fillId="0" borderId="56" xfId="17" applyFont="1" applyFill="1" applyBorder="1"/>
    <xf numFmtId="4" fontId="74" fillId="0" borderId="24" xfId="17" applyNumberFormat="1" applyFont="1" applyFill="1" applyBorder="1" applyAlignment="1">
      <alignment horizontal="right"/>
    </xf>
    <xf numFmtId="167" fontId="74" fillId="0" borderId="0" xfId="26" applyNumberFormat="1" applyFont="1" applyFill="1" applyBorder="1" applyAlignment="1">
      <alignment horizontal="center"/>
    </xf>
    <xf numFmtId="0" fontId="74" fillId="0" borderId="0" xfId="26" applyFont="1" applyFill="1" applyBorder="1"/>
    <xf numFmtId="0" fontId="74" fillId="0" borderId="15" xfId="17" applyFont="1" applyFill="1" applyBorder="1"/>
    <xf numFmtId="0" fontId="74" fillId="0" borderId="0" xfId="17" applyFont="1" applyFill="1" applyBorder="1"/>
    <xf numFmtId="0" fontId="74" fillId="0" borderId="47" xfId="17" applyFont="1" applyFill="1" applyBorder="1"/>
    <xf numFmtId="4" fontId="74" fillId="0" borderId="22" xfId="17" applyNumberFormat="1" applyFont="1" applyFill="1" applyBorder="1"/>
    <xf numFmtId="3" fontId="74" fillId="0" borderId="0" xfId="26" applyNumberFormat="1" applyFont="1" applyFill="1" applyBorder="1"/>
    <xf numFmtId="0" fontId="74" fillId="0" borderId="57" xfId="17" applyFont="1" applyFill="1" applyBorder="1"/>
    <xf numFmtId="0" fontId="74" fillId="0" borderId="39" xfId="17" applyFont="1" applyFill="1" applyBorder="1"/>
    <xf numFmtId="0" fontId="74" fillId="0" borderId="2" xfId="17" applyFont="1" applyFill="1" applyBorder="1"/>
    <xf numFmtId="0" fontId="74" fillId="0" borderId="72" xfId="26" applyFont="1" applyFill="1" applyBorder="1"/>
    <xf numFmtId="0" fontId="74" fillId="0" borderId="29" xfId="26" applyFont="1" applyFill="1" applyBorder="1"/>
    <xf numFmtId="0" fontId="74" fillId="0" borderId="1" xfId="26" applyFont="1" applyFill="1" applyBorder="1"/>
    <xf numFmtId="0" fontId="74" fillId="0" borderId="16" xfId="26" applyFont="1" applyFill="1" applyBorder="1"/>
    <xf numFmtId="4" fontId="74" fillId="0" borderId="22" xfId="26" applyNumberFormat="1" applyFont="1" applyFill="1" applyBorder="1"/>
    <xf numFmtId="0" fontId="77" fillId="0" borderId="43" xfId="26" applyFont="1" applyFill="1" applyBorder="1"/>
    <xf numFmtId="0" fontId="74" fillId="0" borderId="47" xfId="26" applyFont="1" applyFill="1" applyBorder="1"/>
    <xf numFmtId="4" fontId="74" fillId="0" borderId="22" xfId="26" applyNumberFormat="1" applyFont="1" applyFill="1" applyBorder="1" applyAlignment="1"/>
    <xf numFmtId="0" fontId="74" fillId="0" borderId="0" xfId="26" applyFont="1" applyFill="1" applyBorder="1" applyAlignment="1"/>
    <xf numFmtId="0" fontId="78" fillId="0" borderId="49" xfId="26" applyFont="1" applyFill="1" applyBorder="1"/>
    <xf numFmtId="0" fontId="78" fillId="0" borderId="51" xfId="26" applyFont="1" applyFill="1" applyBorder="1"/>
    <xf numFmtId="0" fontId="78" fillId="0" borderId="50" xfId="26" applyFont="1" applyFill="1" applyBorder="1"/>
    <xf numFmtId="0" fontId="74" fillId="0" borderId="1" xfId="26" applyFont="1" applyFill="1" applyBorder="1" applyAlignment="1">
      <alignment vertical="center"/>
    </xf>
    <xf numFmtId="0" fontId="74" fillId="0" borderId="39" xfId="26" applyFont="1" applyFill="1" applyBorder="1" applyAlignment="1">
      <alignment vertical="center"/>
    </xf>
    <xf numFmtId="0" fontId="74" fillId="0" borderId="2" xfId="26" applyFont="1" applyFill="1" applyBorder="1" applyAlignment="1">
      <alignment vertical="center"/>
    </xf>
    <xf numFmtId="4" fontId="74" fillId="0" borderId="22" xfId="26" applyNumberFormat="1" applyFont="1" applyFill="1" applyBorder="1" applyAlignment="1">
      <alignment vertical="center"/>
    </xf>
    <xf numFmtId="0" fontId="74" fillId="0" borderId="0" xfId="26" applyFont="1" applyFill="1" applyBorder="1" applyAlignment="1">
      <alignment vertical="center"/>
    </xf>
    <xf numFmtId="0" fontId="74" fillId="0" borderId="0" xfId="26" applyFont="1" applyFill="1" applyAlignment="1">
      <alignment vertical="center"/>
    </xf>
    <xf numFmtId="2" fontId="74" fillId="0" borderId="0" xfId="26" applyNumberFormat="1" applyFont="1" applyFill="1" applyBorder="1" applyAlignment="1">
      <alignment vertical="center"/>
    </xf>
    <xf numFmtId="0" fontId="74" fillId="3" borderId="1" xfId="26" applyFont="1" applyFill="1" applyBorder="1"/>
    <xf numFmtId="0" fontId="74" fillId="3" borderId="2" xfId="26" applyFont="1" applyFill="1" applyBorder="1"/>
    <xf numFmtId="4" fontId="74" fillId="3" borderId="22" xfId="26" applyNumberFormat="1" applyFont="1" applyFill="1" applyBorder="1"/>
    <xf numFmtId="2" fontId="74" fillId="4" borderId="0" xfId="26" applyNumberFormat="1" applyFont="1" applyFill="1" applyBorder="1"/>
    <xf numFmtId="0" fontId="74" fillId="4" borderId="0" xfId="26" applyFont="1" applyFill="1"/>
    <xf numFmtId="0" fontId="74" fillId="0" borderId="39" xfId="26" applyFont="1" applyFill="1" applyBorder="1"/>
    <xf numFmtId="0" fontId="74" fillId="0" borderId="2" xfId="26" applyFont="1" applyFill="1" applyBorder="1"/>
    <xf numFmtId="2" fontId="74" fillId="0" borderId="0" xfId="26" applyNumberFormat="1" applyFont="1" applyFill="1" applyBorder="1"/>
    <xf numFmtId="0" fontId="78" fillId="0" borderId="1" xfId="26" applyFont="1" applyFill="1" applyBorder="1"/>
    <xf numFmtId="0" fontId="78" fillId="0" borderId="39" xfId="26" applyFont="1" applyFill="1" applyBorder="1"/>
    <xf numFmtId="0" fontId="78" fillId="0" borderId="2" xfId="26" applyFont="1" applyFill="1" applyBorder="1"/>
    <xf numFmtId="4" fontId="77" fillId="0" borderId="22" xfId="26" applyNumberFormat="1" applyFont="1" applyFill="1" applyBorder="1"/>
    <xf numFmtId="166" fontId="77" fillId="0" borderId="0" xfId="26" applyNumberFormat="1" applyFont="1" applyFill="1" applyBorder="1"/>
    <xf numFmtId="0" fontId="77" fillId="0" borderId="0" xfId="26" applyFont="1" applyFill="1" applyBorder="1"/>
    <xf numFmtId="0" fontId="78" fillId="0" borderId="43" xfId="26" applyFont="1" applyFill="1" applyBorder="1"/>
    <xf numFmtId="0" fontId="78" fillId="0" borderId="0" xfId="26" applyFont="1" applyFill="1" applyBorder="1"/>
    <xf numFmtId="171" fontId="74" fillId="0" borderId="22" xfId="26" applyNumberFormat="1" applyFont="1" applyFill="1" applyBorder="1"/>
    <xf numFmtId="171" fontId="74" fillId="0" borderId="0" xfId="26" applyNumberFormat="1" applyFont="1" applyFill="1" applyBorder="1"/>
    <xf numFmtId="0" fontId="74" fillId="3" borderId="39" xfId="26" applyFont="1" applyFill="1" applyBorder="1"/>
    <xf numFmtId="0" fontId="71" fillId="0" borderId="0" xfId="26" applyFont="1" applyFill="1"/>
    <xf numFmtId="0" fontId="74" fillId="3" borderId="29" xfId="26" applyFont="1" applyFill="1" applyBorder="1"/>
    <xf numFmtId="171" fontId="74" fillId="3" borderId="22" xfId="26" applyNumberFormat="1" applyFont="1" applyFill="1" applyBorder="1"/>
    <xf numFmtId="0" fontId="71" fillId="3" borderId="39" xfId="26" applyFont="1" applyFill="1" applyBorder="1"/>
    <xf numFmtId="0" fontId="71" fillId="0" borderId="2" xfId="26" applyFont="1" applyFill="1" applyBorder="1"/>
    <xf numFmtId="166" fontId="79" fillId="0" borderId="0" xfId="26" applyNumberFormat="1" applyFont="1" applyFill="1" applyBorder="1"/>
    <xf numFmtId="166" fontId="71" fillId="0" borderId="0" xfId="26" applyNumberFormat="1" applyFont="1" applyFill="1" applyBorder="1"/>
    <xf numFmtId="0" fontId="74" fillId="3" borderId="72" xfId="26" applyFont="1" applyFill="1" applyBorder="1"/>
    <xf numFmtId="0" fontId="78" fillId="0" borderId="72" xfId="26" applyFont="1" applyFill="1" applyBorder="1"/>
    <xf numFmtId="171" fontId="77" fillId="0" borderId="22" xfId="26" applyNumberFormat="1" applyFont="1" applyFill="1" applyBorder="1"/>
    <xf numFmtId="4" fontId="73" fillId="0" borderId="22" xfId="26" applyNumberFormat="1" applyFont="1" applyFill="1" applyBorder="1"/>
    <xf numFmtId="2" fontId="77" fillId="0" borderId="0" xfId="26" applyNumberFormat="1" applyFont="1" applyFill="1" applyBorder="1"/>
    <xf numFmtId="0" fontId="33" fillId="0" borderId="72" xfId="26" applyFont="1" applyFill="1" applyBorder="1"/>
    <xf numFmtId="0" fontId="33" fillId="0" borderId="29" xfId="26" applyFont="1" applyFill="1" applyBorder="1"/>
    <xf numFmtId="0" fontId="33" fillId="0" borderId="16" xfId="26" applyFont="1" applyFill="1" applyBorder="1"/>
    <xf numFmtId="4" fontId="33" fillId="0" borderId="22" xfId="26" applyNumberFormat="1" applyFont="1" applyFill="1" applyBorder="1"/>
    <xf numFmtId="0" fontId="77" fillId="0" borderId="40" xfId="26" applyFont="1" applyFill="1" applyBorder="1"/>
    <xf numFmtId="0" fontId="77" fillId="0" borderId="34" xfId="26" applyFont="1" applyFill="1" applyBorder="1"/>
    <xf numFmtId="0" fontId="77" fillId="0" borderId="65" xfId="26" applyFont="1" applyFill="1" applyBorder="1"/>
    <xf numFmtId="4" fontId="77" fillId="0" borderId="45" xfId="26" applyNumberFormat="1" applyFont="1" applyFill="1" applyBorder="1"/>
    <xf numFmtId="2" fontId="62" fillId="0" borderId="0" xfId="26" applyNumberFormat="1" applyFont="1" applyFill="1" applyBorder="1"/>
    <xf numFmtId="4" fontId="51" fillId="0" borderId="0" xfId="26" applyNumberFormat="1" applyFont="1" applyFill="1"/>
    <xf numFmtId="0" fontId="51" fillId="0" borderId="0" xfId="26" applyFont="1" applyFill="1"/>
    <xf numFmtId="0" fontId="74" fillId="0" borderId="10" xfId="26" applyFont="1" applyFill="1" applyBorder="1" applyAlignment="1">
      <alignment vertical="center"/>
    </xf>
    <xf numFmtId="0" fontId="77" fillId="0" borderId="8" xfId="26" applyFont="1" applyFill="1" applyBorder="1"/>
    <xf numFmtId="0" fontId="74" fillId="0" borderId="27" xfId="26" applyFont="1" applyFill="1" applyBorder="1"/>
    <xf numFmtId="0" fontId="74" fillId="0" borderId="18" xfId="26" applyFont="1" applyFill="1" applyBorder="1"/>
    <xf numFmtId="4" fontId="74" fillId="0" borderId="9" xfId="26" applyNumberFormat="1" applyFont="1" applyFill="1" applyBorder="1"/>
    <xf numFmtId="0" fontId="51" fillId="0" borderId="0" xfId="26" applyFont="1" applyFill="1" applyBorder="1"/>
    <xf numFmtId="0" fontId="74" fillId="0" borderId="0" xfId="26" applyFont="1" applyAlignment="1">
      <alignment vertical="center"/>
    </xf>
    <xf numFmtId="0" fontId="74" fillId="0" borderId="1" xfId="26" applyFont="1" applyBorder="1" applyAlignment="1">
      <alignment vertical="center"/>
    </xf>
    <xf numFmtId="0" fontId="74" fillId="0" borderId="39" xfId="26" applyFont="1" applyBorder="1" applyAlignment="1">
      <alignment vertical="center"/>
    </xf>
    <xf numFmtId="4" fontId="33" fillId="0" borderId="22" xfId="26" applyNumberFormat="1" applyFont="1" applyFill="1" applyBorder="1" applyAlignment="1">
      <alignment vertical="center"/>
    </xf>
    <xf numFmtId="0" fontId="33" fillId="0" borderId="1" xfId="26" applyFont="1" applyBorder="1" applyAlignment="1">
      <alignment vertical="center"/>
    </xf>
    <xf numFmtId="0" fontId="33" fillId="0" borderId="39" xfId="26" applyFont="1" applyBorder="1" applyAlignment="1">
      <alignment vertical="center"/>
    </xf>
    <xf numFmtId="0" fontId="33" fillId="0" borderId="39" xfId="26" applyFont="1" applyFill="1" applyBorder="1" applyAlignment="1">
      <alignment vertical="center"/>
    </xf>
    <xf numFmtId="0" fontId="33" fillId="0" borderId="1" xfId="26" applyFont="1" applyBorder="1"/>
    <xf numFmtId="0" fontId="51" fillId="0" borderId="39" xfId="26" applyFont="1" applyBorder="1"/>
    <xf numFmtId="0" fontId="51" fillId="0" borderId="1" xfId="26" applyFont="1" applyBorder="1"/>
    <xf numFmtId="0" fontId="51" fillId="0" borderId="39" xfId="26" applyFont="1" applyFill="1" applyBorder="1"/>
    <xf numFmtId="0" fontId="74" fillId="0" borderId="0" xfId="26" applyFont="1"/>
    <xf numFmtId="0" fontId="78" fillId="0" borderId="1" xfId="26" applyFont="1" applyBorder="1" applyAlignment="1">
      <alignment vertical="center"/>
    </xf>
    <xf numFmtId="0" fontId="78" fillId="0" borderId="39" xfId="26" applyFont="1" applyBorder="1" applyAlignment="1">
      <alignment vertical="center"/>
    </xf>
    <xf numFmtId="0" fontId="78" fillId="0" borderId="39" xfId="26" applyFont="1" applyFill="1" applyBorder="1" applyAlignment="1">
      <alignment vertical="center"/>
    </xf>
    <xf numFmtId="4" fontId="34" fillId="0" borderId="22" xfId="26" applyNumberFormat="1" applyFont="1" applyFill="1" applyBorder="1" applyAlignment="1">
      <alignment vertical="center"/>
    </xf>
    <xf numFmtId="0" fontId="74" fillId="0" borderId="51" xfId="26" applyFont="1" applyFill="1" applyBorder="1" applyAlignment="1">
      <alignment vertical="center"/>
    </xf>
    <xf numFmtId="0" fontId="74" fillId="0" borderId="49" xfId="26" applyFont="1" applyFill="1" applyBorder="1" applyAlignment="1">
      <alignment vertical="center"/>
    </xf>
    <xf numFmtId="0" fontId="74" fillId="0" borderId="50" xfId="26" applyFont="1" applyFill="1" applyBorder="1" applyAlignment="1">
      <alignment vertical="center"/>
    </xf>
    <xf numFmtId="4" fontId="77" fillId="0" borderId="22" xfId="26" applyNumberFormat="1" applyFont="1" applyFill="1" applyBorder="1" applyAlignment="1">
      <alignment vertical="center"/>
    </xf>
    <xf numFmtId="0" fontId="77" fillId="0" borderId="0" xfId="26" applyFont="1" applyFill="1" applyBorder="1" applyAlignment="1">
      <alignment vertical="center"/>
    </xf>
    <xf numFmtId="0" fontId="78" fillId="0" borderId="1" xfId="26" applyFont="1" applyFill="1" applyBorder="1" applyAlignment="1">
      <alignment vertical="center"/>
    </xf>
    <xf numFmtId="171" fontId="74" fillId="0" borderId="22" xfId="26" applyNumberFormat="1" applyFont="1" applyFill="1" applyBorder="1" applyAlignment="1">
      <alignment vertical="center"/>
    </xf>
    <xf numFmtId="166" fontId="74" fillId="0" borderId="0" xfId="26" applyNumberFormat="1" applyFont="1" applyFill="1" applyBorder="1" applyAlignment="1">
      <alignment vertical="center"/>
    </xf>
    <xf numFmtId="0" fontId="71" fillId="0" borderId="0" xfId="26" applyFont="1" applyFill="1" applyAlignment="1">
      <alignment vertical="center"/>
    </xf>
    <xf numFmtId="166" fontId="74" fillId="0" borderId="0" xfId="26" applyNumberFormat="1" applyFont="1" applyFill="1" applyBorder="1"/>
    <xf numFmtId="0" fontId="78" fillId="0" borderId="72" xfId="26" applyFont="1" applyFill="1" applyBorder="1" applyAlignment="1">
      <alignment vertical="center"/>
    </xf>
    <xf numFmtId="0" fontId="74" fillId="0" borderId="29" xfId="26" applyFont="1" applyFill="1" applyBorder="1" applyAlignment="1">
      <alignment vertical="center"/>
    </xf>
    <xf numFmtId="0" fontId="74" fillId="0" borderId="16" xfId="26" applyFont="1" applyFill="1" applyBorder="1" applyAlignment="1">
      <alignment vertical="center"/>
    </xf>
    <xf numFmtId="171" fontId="77" fillId="0" borderId="22" xfId="26" applyNumberFormat="1" applyFont="1" applyFill="1" applyBorder="1" applyAlignment="1">
      <alignment vertical="center"/>
    </xf>
    <xf numFmtId="166" fontId="77" fillId="0" borderId="0" xfId="26" applyNumberFormat="1" applyFont="1" applyFill="1" applyBorder="1" applyAlignment="1">
      <alignment vertical="center"/>
    </xf>
    <xf numFmtId="0" fontId="74" fillId="0" borderId="72" xfId="26" applyFont="1" applyFill="1" applyBorder="1" applyAlignment="1">
      <alignment vertical="center"/>
    </xf>
    <xf numFmtId="4" fontId="73" fillId="0" borderId="22" xfId="26" applyNumberFormat="1" applyFont="1" applyFill="1" applyBorder="1" applyAlignment="1">
      <alignment vertical="center"/>
    </xf>
    <xf numFmtId="2" fontId="34" fillId="0" borderId="0" xfId="26" applyNumberFormat="1" applyFont="1" applyFill="1" applyBorder="1" applyAlignment="1">
      <alignment vertical="center"/>
    </xf>
    <xf numFmtId="0" fontId="77" fillId="0" borderId="40" xfId="26" applyFont="1" applyFill="1" applyBorder="1" applyAlignment="1">
      <alignment vertical="center"/>
    </xf>
    <xf numFmtId="0" fontId="77" fillId="0" borderId="34" xfId="26" applyFont="1" applyFill="1" applyBorder="1" applyAlignment="1">
      <alignment vertical="center"/>
    </xf>
    <xf numFmtId="0" fontId="77" fillId="0" borderId="65" xfId="26" applyFont="1" applyFill="1" applyBorder="1" applyAlignment="1">
      <alignment vertical="center"/>
    </xf>
    <xf numFmtId="4" fontId="77" fillId="0" borderId="45" xfId="26" applyNumberFormat="1" applyFont="1" applyFill="1" applyBorder="1" applyAlignment="1">
      <alignment vertical="center"/>
    </xf>
    <xf numFmtId="2" fontId="62" fillId="0" borderId="0" xfId="26" applyNumberFormat="1" applyFont="1" applyFill="1" applyBorder="1" applyAlignment="1">
      <alignment vertical="center"/>
    </xf>
    <xf numFmtId="4" fontId="51" fillId="0" borderId="0" xfId="26" applyNumberFormat="1" applyFont="1" applyFill="1" applyAlignment="1">
      <alignment vertical="center"/>
    </xf>
    <xf numFmtId="0" fontId="77" fillId="0" borderId="27" xfId="26" applyFont="1" applyFill="1" applyBorder="1"/>
    <xf numFmtId="0" fontId="77" fillId="0" borderId="18" xfId="26" applyFont="1" applyFill="1" applyBorder="1"/>
    <xf numFmtId="4" fontId="77" fillId="0" borderId="9" xfId="26" applyNumberFormat="1" applyFont="1" applyFill="1" applyBorder="1"/>
    <xf numFmtId="0" fontId="33" fillId="3" borderId="73" xfId="26" applyFont="1" applyFill="1" applyBorder="1"/>
    <xf numFmtId="0" fontId="33" fillId="3" borderId="32" xfId="26" applyFont="1" applyFill="1" applyBorder="1"/>
    <xf numFmtId="0" fontId="33" fillId="3" borderId="11" xfId="26" applyFont="1" applyFill="1" applyBorder="1"/>
    <xf numFmtId="0" fontId="33" fillId="3" borderId="56" xfId="26" applyFont="1" applyFill="1" applyBorder="1" applyAlignment="1">
      <alignment vertical="center"/>
    </xf>
    <xf numFmtId="4" fontId="55" fillId="3" borderId="24" xfId="26" applyNumberFormat="1" applyFont="1" applyFill="1" applyBorder="1" applyAlignment="1">
      <alignment vertical="center"/>
    </xf>
    <xf numFmtId="1" fontId="33" fillId="3" borderId="0" xfId="26" applyNumberFormat="1" applyFont="1" applyFill="1" applyBorder="1"/>
    <xf numFmtId="0" fontId="33" fillId="3" borderId="0" xfId="26" applyFont="1" applyFill="1"/>
    <xf numFmtId="0" fontId="33" fillId="3" borderId="43" xfId="26" applyFont="1" applyFill="1" applyBorder="1"/>
    <xf numFmtId="0" fontId="33" fillId="3" borderId="0" xfId="26" applyFont="1" applyFill="1" applyBorder="1"/>
    <xf numFmtId="0" fontId="33" fillId="3" borderId="4" xfId="26" applyFont="1" applyFill="1" applyBorder="1"/>
    <xf numFmtId="0" fontId="33" fillId="3" borderId="50" xfId="26" applyFont="1" applyFill="1" applyBorder="1" applyAlignment="1">
      <alignment vertical="center"/>
    </xf>
    <xf numFmtId="4" fontId="33" fillId="3" borderId="22" xfId="26" applyNumberFormat="1" applyFont="1" applyFill="1" applyBorder="1" applyAlignment="1">
      <alignment vertical="center"/>
    </xf>
    <xf numFmtId="2" fontId="33" fillId="3" borderId="0" xfId="26" applyNumberFormat="1" applyFont="1" applyFill="1" applyBorder="1"/>
    <xf numFmtId="167" fontId="33" fillId="3" borderId="0" xfId="26" applyNumberFormat="1" applyFont="1" applyFill="1" applyBorder="1"/>
    <xf numFmtId="0" fontId="38" fillId="3" borderId="72" xfId="26" applyFont="1" applyFill="1" applyBorder="1" applyAlignment="1">
      <alignment wrapText="1"/>
    </xf>
    <xf numFmtId="0" fontId="33" fillId="3" borderId="29" xfId="26" applyFont="1" applyFill="1" applyBorder="1"/>
    <xf numFmtId="0" fontId="33" fillId="3" borderId="6" xfId="26" applyFont="1" applyFill="1" applyBorder="1"/>
    <xf numFmtId="0" fontId="34" fillId="3" borderId="16" xfId="26" applyFont="1" applyFill="1" applyBorder="1" applyAlignment="1">
      <alignment vertical="center"/>
    </xf>
    <xf numFmtId="4" fontId="34" fillId="3" borderId="22" xfId="26" applyNumberFormat="1" applyFont="1" applyFill="1" applyBorder="1" applyAlignment="1">
      <alignment vertical="center"/>
    </xf>
    <xf numFmtId="0" fontId="74" fillId="0" borderId="49" xfId="26" applyFont="1" applyFill="1" applyBorder="1"/>
    <xf numFmtId="0" fontId="74" fillId="0" borderId="51" xfId="26" applyFont="1" applyFill="1" applyBorder="1"/>
    <xf numFmtId="0" fontId="74" fillId="0" borderId="7" xfId="26" applyFont="1" applyFill="1" applyBorder="1"/>
    <xf numFmtId="4" fontId="80" fillId="0" borderId="22" xfId="26" applyNumberFormat="1" applyFont="1" applyFill="1" applyBorder="1" applyAlignment="1">
      <alignment vertical="center"/>
    </xf>
    <xf numFmtId="1" fontId="74" fillId="0" borderId="0" xfId="26" applyNumberFormat="1" applyFont="1" applyFill="1" applyBorder="1"/>
    <xf numFmtId="0" fontId="74" fillId="0" borderId="43" xfId="26" applyFont="1" applyFill="1" applyBorder="1"/>
    <xf numFmtId="0" fontId="74" fillId="0" borderId="4" xfId="26" applyFont="1" applyFill="1" applyBorder="1"/>
    <xf numFmtId="0" fontId="74" fillId="0" borderId="6" xfId="26" applyFont="1" applyFill="1" applyBorder="1"/>
    <xf numFmtId="0" fontId="77" fillId="0" borderId="16" xfId="26" applyFont="1" applyFill="1" applyBorder="1" applyAlignment="1">
      <alignment vertical="center"/>
    </xf>
    <xf numFmtId="0" fontId="55" fillId="4" borderId="43" xfId="26" applyFont="1" applyFill="1" applyBorder="1"/>
    <xf numFmtId="0" fontId="55" fillId="4" borderId="0" xfId="26" applyFont="1" applyFill="1" applyBorder="1"/>
    <xf numFmtId="0" fontId="55" fillId="4" borderId="4" xfId="26" applyFont="1" applyFill="1" applyBorder="1"/>
    <xf numFmtId="0" fontId="55" fillId="4" borderId="16" xfId="26" applyFont="1" applyFill="1" applyBorder="1" applyAlignment="1">
      <alignment vertical="center"/>
    </xf>
    <xf numFmtId="4" fontId="81" fillId="4" borderId="22" xfId="26" applyNumberFormat="1" applyFont="1" applyFill="1" applyBorder="1" applyAlignment="1">
      <alignment vertical="center"/>
    </xf>
    <xf numFmtId="2" fontId="55" fillId="4" borderId="0" xfId="26" applyNumberFormat="1" applyFont="1" applyFill="1" applyBorder="1"/>
    <xf numFmtId="0" fontId="55" fillId="4" borderId="0" xfId="26" applyFont="1" applyFill="1"/>
    <xf numFmtId="4" fontId="55" fillId="4" borderId="22" xfId="26" applyNumberFormat="1" applyFont="1" applyFill="1" applyBorder="1" applyAlignment="1">
      <alignment vertical="center"/>
    </xf>
    <xf numFmtId="0" fontId="82" fillId="4" borderId="72" xfId="26" applyFont="1" applyFill="1" applyBorder="1" applyAlignment="1">
      <alignment wrapText="1"/>
    </xf>
    <xf numFmtId="0" fontId="55" fillId="4" borderId="29" xfId="26" applyFont="1" applyFill="1" applyBorder="1"/>
    <xf numFmtId="0" fontId="55" fillId="4" borderId="6" xfId="26" applyFont="1" applyFill="1" applyBorder="1" applyAlignment="1">
      <alignment wrapText="1"/>
    </xf>
    <xf numFmtId="0" fontId="74" fillId="0" borderId="7" xfId="26" applyFont="1" applyFill="1" applyBorder="1" applyAlignment="1">
      <alignment vertical="center"/>
    </xf>
    <xf numFmtId="0" fontId="33" fillId="0" borderId="4" xfId="26" applyFont="1" applyFill="1" applyBorder="1" applyAlignment="1">
      <alignment vertical="center" wrapText="1"/>
    </xf>
    <xf numFmtId="0" fontId="33" fillId="0" borderId="6" xfId="26" applyFont="1" applyFill="1" applyBorder="1" applyAlignment="1">
      <alignment horizontal="right" vertical="center" wrapText="1"/>
    </xf>
    <xf numFmtId="0" fontId="34" fillId="0" borderId="16" xfId="26" applyFont="1" applyFill="1" applyBorder="1" applyAlignment="1">
      <alignment vertical="center"/>
    </xf>
    <xf numFmtId="2" fontId="55" fillId="0" borderId="0" xfId="26" applyNumberFormat="1" applyFont="1" applyFill="1" applyBorder="1"/>
    <xf numFmtId="0" fontId="55" fillId="4" borderId="49" xfId="26" applyFont="1" applyFill="1" applyBorder="1" applyAlignment="1">
      <alignment vertical="center"/>
    </xf>
    <xf numFmtId="0" fontId="55" fillId="4" borderId="51" xfId="26" applyFont="1" applyFill="1" applyBorder="1" applyAlignment="1">
      <alignment vertical="center"/>
    </xf>
    <xf numFmtId="0" fontId="55" fillId="4" borderId="50" xfId="26" applyFont="1" applyFill="1" applyBorder="1" applyAlignment="1">
      <alignment vertical="center"/>
    </xf>
    <xf numFmtId="0" fontId="33" fillId="4" borderId="4" xfId="26" applyFont="1" applyFill="1" applyBorder="1" applyAlignment="1">
      <alignment vertical="center"/>
    </xf>
    <xf numFmtId="0" fontId="55" fillId="4" borderId="2" xfId="26" applyFont="1" applyFill="1" applyBorder="1" applyAlignment="1">
      <alignment vertical="center"/>
    </xf>
    <xf numFmtId="0" fontId="55" fillId="4" borderId="43" xfId="26" applyFont="1" applyFill="1" applyBorder="1" applyAlignment="1">
      <alignment vertical="center"/>
    </xf>
    <xf numFmtId="0" fontId="55" fillId="4" borderId="0" xfId="26" applyFont="1" applyFill="1" applyBorder="1" applyAlignment="1">
      <alignment vertical="center"/>
    </xf>
    <xf numFmtId="0" fontId="55" fillId="4" borderId="47" xfId="26" applyFont="1" applyFill="1" applyBorder="1" applyAlignment="1">
      <alignment vertical="center"/>
    </xf>
    <xf numFmtId="0" fontId="82" fillId="4" borderId="72" xfId="26" applyFont="1" applyFill="1" applyBorder="1" applyAlignment="1">
      <alignment vertical="center" wrapText="1"/>
    </xf>
    <xf numFmtId="0" fontId="55" fillId="4" borderId="29" xfId="26" applyFont="1" applyFill="1" applyBorder="1" applyAlignment="1">
      <alignment vertical="center"/>
    </xf>
    <xf numFmtId="0" fontId="33" fillId="4" borderId="6" xfId="26" applyFont="1" applyFill="1" applyBorder="1" applyAlignment="1">
      <alignment vertical="center" wrapText="1"/>
    </xf>
    <xf numFmtId="0" fontId="33" fillId="0" borderId="7" xfId="26" applyFont="1" applyFill="1" applyBorder="1" applyAlignment="1">
      <alignment vertical="center"/>
    </xf>
    <xf numFmtId="0" fontId="74" fillId="0" borderId="2" xfId="26" applyFont="1" applyFill="1" applyBorder="1" applyAlignment="1">
      <alignment vertical="center" wrapText="1"/>
    </xf>
    <xf numFmtId="0" fontId="33" fillId="3" borderId="7" xfId="26" applyFont="1" applyFill="1" applyBorder="1"/>
    <xf numFmtId="0" fontId="33" fillId="3" borderId="2" xfId="26" applyFont="1" applyFill="1" applyBorder="1" applyAlignment="1">
      <alignment vertical="center"/>
    </xf>
    <xf numFmtId="4" fontId="73" fillId="3" borderId="3" xfId="26" applyNumberFormat="1" applyFont="1" applyFill="1" applyBorder="1" applyAlignment="1">
      <alignment vertical="center"/>
    </xf>
    <xf numFmtId="0" fontId="33" fillId="0" borderId="4" xfId="26" applyFont="1" applyFill="1" applyBorder="1" applyAlignment="1">
      <alignment wrapText="1"/>
    </xf>
    <xf numFmtId="0" fontId="33" fillId="3" borderId="16" xfId="26" applyFont="1" applyFill="1" applyBorder="1" applyAlignment="1">
      <alignment vertical="center"/>
    </xf>
    <xf numFmtId="4" fontId="33" fillId="3" borderId="3" xfId="26" applyNumberFormat="1" applyFont="1" applyFill="1" applyBorder="1" applyAlignment="1">
      <alignment vertical="center"/>
    </xf>
    <xf numFmtId="0" fontId="33" fillId="3" borderId="6" xfId="26" applyFont="1" applyFill="1" applyBorder="1" applyAlignment="1">
      <alignment horizontal="right" wrapText="1"/>
    </xf>
    <xf numFmtId="3" fontId="34" fillId="3" borderId="22" xfId="26" applyNumberFormat="1" applyFont="1" applyFill="1" applyBorder="1" applyAlignment="1">
      <alignment vertical="center"/>
    </xf>
    <xf numFmtId="0" fontId="55" fillId="4" borderId="3" xfId="26" applyFont="1" applyFill="1" applyBorder="1"/>
    <xf numFmtId="4" fontId="73" fillId="4" borderId="3" xfId="26" applyNumberFormat="1" applyFont="1" applyFill="1" applyBorder="1" applyAlignment="1">
      <alignment vertical="center"/>
    </xf>
    <xf numFmtId="4" fontId="55" fillId="4" borderId="3" xfId="26" applyNumberFormat="1" applyFont="1" applyFill="1" applyBorder="1" applyAlignment="1">
      <alignment vertical="center"/>
    </xf>
    <xf numFmtId="0" fontId="33" fillId="4" borderId="6" xfId="26" applyFont="1" applyFill="1" applyBorder="1" applyAlignment="1">
      <alignment horizontal="right" wrapText="1"/>
    </xf>
    <xf numFmtId="0" fontId="74" fillId="0" borderId="3" xfId="26" applyFont="1" applyFill="1" applyBorder="1" applyAlignment="1">
      <alignment vertical="center"/>
    </xf>
    <xf numFmtId="0" fontId="77" fillId="0" borderId="3" xfId="26" applyFont="1" applyFill="1" applyBorder="1" applyAlignment="1">
      <alignment vertical="center"/>
    </xf>
    <xf numFmtId="4" fontId="77" fillId="0" borderId="3" xfId="26" applyNumberFormat="1" applyFont="1" applyFill="1" applyBorder="1" applyAlignment="1">
      <alignment vertical="center"/>
    </xf>
    <xf numFmtId="0" fontId="77" fillId="0" borderId="47" xfId="26" applyFont="1" applyFill="1" applyBorder="1" applyAlignment="1">
      <alignment vertical="center"/>
    </xf>
    <xf numFmtId="4" fontId="77" fillId="0" borderId="36" xfId="26" applyNumberFormat="1" applyFont="1" applyFill="1" applyBorder="1" applyAlignment="1">
      <alignment vertical="center"/>
    </xf>
    <xf numFmtId="0" fontId="77" fillId="0" borderId="0" xfId="26" applyFont="1" applyFill="1"/>
    <xf numFmtId="0" fontId="77" fillId="0" borderId="49" xfId="26" applyFont="1" applyFill="1" applyBorder="1"/>
    <xf numFmtId="4" fontId="83" fillId="0" borderId="7" xfId="26" applyNumberFormat="1" applyFont="1" applyFill="1" applyBorder="1" applyAlignment="1">
      <alignment vertical="center"/>
    </xf>
    <xf numFmtId="2" fontId="34" fillId="0" borderId="5" xfId="26" applyNumberFormat="1" applyFont="1" applyFill="1" applyBorder="1" applyAlignment="1" applyProtection="1">
      <alignment vertical="center" wrapText="1"/>
      <protection locked="0"/>
    </xf>
    <xf numFmtId="2" fontId="34" fillId="0" borderId="18" xfId="26" applyNumberFormat="1" applyFont="1" applyFill="1" applyBorder="1" applyAlignment="1" applyProtection="1">
      <alignment vertical="center" wrapText="1"/>
      <protection locked="0"/>
    </xf>
    <xf numFmtId="4" fontId="34" fillId="0" borderId="9" xfId="26" applyNumberFormat="1" applyFont="1" applyFill="1" applyBorder="1" applyAlignment="1" applyProtection="1">
      <alignment horizontal="right" vertical="center"/>
      <protection locked="0"/>
    </xf>
    <xf numFmtId="4" fontId="33" fillId="0" borderId="0" xfId="26" applyNumberFormat="1" applyFont="1" applyFill="1"/>
    <xf numFmtId="3" fontId="77" fillId="0" borderId="45" xfId="26" applyNumberFormat="1" applyFont="1" applyFill="1" applyBorder="1"/>
    <xf numFmtId="3" fontId="77" fillId="0" borderId="45" xfId="26" applyNumberFormat="1" applyFont="1" applyFill="1" applyBorder="1" applyAlignment="1">
      <alignment vertical="center"/>
    </xf>
    <xf numFmtId="0" fontId="77" fillId="0" borderId="10" xfId="26" applyFont="1" applyFill="1" applyBorder="1" applyAlignment="1">
      <alignment vertical="center"/>
    </xf>
    <xf numFmtId="0" fontId="77" fillId="0" borderId="8" xfId="26" applyFont="1" applyFill="1" applyBorder="1" applyAlignment="1">
      <alignment vertical="center"/>
    </xf>
    <xf numFmtId="0" fontId="77" fillId="0" borderId="27" xfId="26" applyFont="1" applyFill="1" applyBorder="1" applyAlignment="1">
      <alignment vertical="center" wrapText="1"/>
    </xf>
    <xf numFmtId="0" fontId="77" fillId="0" borderId="18" xfId="26" applyFont="1" applyFill="1" applyBorder="1" applyAlignment="1">
      <alignment vertical="center" wrapText="1"/>
    </xf>
    <xf numFmtId="4" fontId="77" fillId="0" borderId="9" xfId="26" applyNumberFormat="1" applyFont="1" applyFill="1" applyBorder="1" applyAlignment="1">
      <alignment vertical="center"/>
    </xf>
    <xf numFmtId="4" fontId="77" fillId="0" borderId="0" xfId="26" applyNumberFormat="1" applyFont="1" applyFill="1" applyBorder="1" applyAlignment="1">
      <alignment vertical="center"/>
    </xf>
    <xf numFmtId="0" fontId="77" fillId="0" borderId="0" xfId="26" applyFont="1" applyFill="1" applyAlignment="1">
      <alignment vertical="center"/>
    </xf>
    <xf numFmtId="2" fontId="33" fillId="0" borderId="0" xfId="26" applyNumberFormat="1" applyFont="1" applyFill="1" applyBorder="1" applyAlignment="1" applyProtection="1">
      <alignment horizontal="center" vertical="center"/>
      <protection locked="0"/>
    </xf>
    <xf numFmtId="4" fontId="33" fillId="0" borderId="0" xfId="26" applyNumberFormat="1" applyFont="1" applyFill="1" applyBorder="1" applyAlignment="1" applyProtection="1">
      <alignment horizontal="center" vertical="center"/>
      <protection locked="0"/>
    </xf>
    <xf numFmtId="2" fontId="34" fillId="0" borderId="0" xfId="26" applyNumberFormat="1" applyFont="1" applyFill="1" applyBorder="1" applyAlignment="1" applyProtection="1">
      <alignment horizontal="left" vertical="center"/>
      <protection locked="0"/>
    </xf>
    <xf numFmtId="0" fontId="34" fillId="0" borderId="0" xfId="26" applyFont="1" applyFill="1" applyBorder="1" applyAlignment="1" applyProtection="1">
      <alignment horizontal="right" vertical="center"/>
      <protection locked="0"/>
    </xf>
    <xf numFmtId="0" fontId="49" fillId="0" borderId="0" xfId="26" applyFont="1" applyFill="1" applyAlignment="1"/>
    <xf numFmtId="0" fontId="37" fillId="0" borderId="0" xfId="26" applyFont="1" applyFill="1" applyAlignment="1">
      <alignment horizontal="center" vertical="center"/>
    </xf>
    <xf numFmtId="2" fontId="34" fillId="0" borderId="0" xfId="26" applyNumberFormat="1" applyFont="1" applyFill="1" applyBorder="1" applyAlignment="1" applyProtection="1">
      <alignment horizontal="center" vertical="center"/>
      <protection locked="0"/>
    </xf>
    <xf numFmtId="4" fontId="34" fillId="0" borderId="0" xfId="26" applyNumberFormat="1" applyFont="1" applyFill="1" applyBorder="1" applyAlignment="1" applyProtection="1">
      <alignment horizontal="right"/>
      <protection locked="0"/>
    </xf>
    <xf numFmtId="0" fontId="49" fillId="0" borderId="0" xfId="26" applyFont="1" applyFill="1" applyBorder="1" applyAlignment="1"/>
    <xf numFmtId="0" fontId="37" fillId="0" borderId="0" xfId="26" applyFont="1" applyFill="1" applyAlignment="1">
      <alignment horizontal="center"/>
    </xf>
    <xf numFmtId="0" fontId="33" fillId="0" borderId="0" xfId="26" applyFont="1" applyFill="1" applyAlignment="1">
      <alignment vertical="center"/>
    </xf>
    <xf numFmtId="0" fontId="71" fillId="0" borderId="0" xfId="0" applyFont="1" applyFill="1" applyBorder="1" applyAlignment="1" applyProtection="1">
      <alignment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vertical="center" wrapText="1"/>
      <protection locked="0"/>
    </xf>
    <xf numFmtId="0" fontId="84" fillId="0" borderId="0" xfId="0" applyFont="1"/>
    <xf numFmtId="0" fontId="85" fillId="0" borderId="0" xfId="0" applyFont="1" applyFill="1" applyAlignment="1">
      <alignment horizontal="center" wrapText="1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86" fillId="0" borderId="0" xfId="0" applyFont="1" applyFill="1"/>
    <xf numFmtId="0" fontId="19" fillId="0" borderId="0" xfId="0" applyFont="1"/>
    <xf numFmtId="0" fontId="34" fillId="0" borderId="31" xfId="0" applyFont="1" applyBorder="1" applyAlignment="1">
      <alignment wrapText="1"/>
    </xf>
    <xf numFmtId="0" fontId="34" fillId="0" borderId="32" xfId="0" applyFont="1" applyBorder="1" applyAlignment="1">
      <alignment wrapText="1"/>
    </xf>
    <xf numFmtId="0" fontId="34" fillId="0" borderId="12" xfId="0" applyFont="1" applyBorder="1" applyAlignment="1">
      <alignment wrapText="1"/>
    </xf>
    <xf numFmtId="0" fontId="34" fillId="0" borderId="0" xfId="0" applyFont="1" applyAlignment="1">
      <alignment wrapText="1"/>
    </xf>
    <xf numFmtId="0" fontId="85" fillId="0" borderId="0" xfId="0" applyNumberFormat="1" applyFont="1" applyFill="1" applyBorder="1" applyAlignment="1" applyProtection="1">
      <alignment vertical="top" wrapText="1"/>
    </xf>
    <xf numFmtId="0" fontId="19" fillId="0" borderId="0" xfId="0" applyFont="1" applyAlignment="1">
      <alignment vertical="center" wrapText="1"/>
    </xf>
    <xf numFmtId="0" fontId="77" fillId="0" borderId="10" xfId="0" applyFont="1" applyBorder="1" applyAlignment="1">
      <alignment horizontal="center" vertical="center" wrapText="1"/>
    </xf>
    <xf numFmtId="0" fontId="77" fillId="0" borderId="8" xfId="0" applyFont="1" applyBorder="1" applyAlignment="1">
      <alignment horizontal="center" vertical="center" wrapText="1"/>
    </xf>
    <xf numFmtId="0" fontId="77" fillId="0" borderId="5" xfId="0" applyFont="1" applyBorder="1" applyAlignment="1">
      <alignment horizontal="center" vertical="center" wrapText="1"/>
    </xf>
    <xf numFmtId="0" fontId="77" fillId="0" borderId="9" xfId="0" applyFont="1" applyBorder="1" applyAlignment="1">
      <alignment horizontal="center" vertical="center" wrapText="1"/>
    </xf>
    <xf numFmtId="0" fontId="84" fillId="0" borderId="0" xfId="0" applyFont="1" applyBorder="1" applyAlignment="1">
      <alignment vertical="center" wrapText="1"/>
    </xf>
    <xf numFmtId="0" fontId="74" fillId="0" borderId="53" xfId="0" applyFont="1" applyBorder="1" applyAlignment="1">
      <alignment horizontal="left"/>
    </xf>
    <xf numFmtId="0" fontId="77" fillId="0" borderId="32" xfId="0" applyFont="1" applyBorder="1" applyAlignment="1">
      <alignment horizontal="center"/>
    </xf>
    <xf numFmtId="0" fontId="77" fillId="0" borderId="32" xfId="0" applyFont="1" applyBorder="1"/>
    <xf numFmtId="0" fontId="74" fillId="0" borderId="32" xfId="0" applyFont="1" applyBorder="1"/>
    <xf numFmtId="1" fontId="74" fillId="0" borderId="12" xfId="0" applyNumberFormat="1" applyFont="1" applyBorder="1"/>
    <xf numFmtId="0" fontId="84" fillId="0" borderId="0" xfId="0" applyFont="1" applyBorder="1"/>
    <xf numFmtId="0" fontId="33" fillId="0" borderId="7" xfId="0" applyNumberFormat="1" applyFont="1" applyFill="1" applyBorder="1" applyAlignment="1" applyProtection="1">
      <alignment vertical="top" wrapText="1"/>
    </xf>
    <xf numFmtId="0" fontId="33" fillId="0" borderId="49" xfId="0" applyNumberFormat="1" applyFont="1" applyFill="1" applyBorder="1" applyAlignment="1" applyProtection="1">
      <alignment horizontal="center" vertical="center" wrapText="1"/>
    </xf>
    <xf numFmtId="0" fontId="55" fillId="0" borderId="7" xfId="0" applyNumberFormat="1" applyFont="1" applyFill="1" applyBorder="1" applyAlignment="1" applyProtection="1">
      <alignment horizontal="center" vertical="center" wrapText="1"/>
    </xf>
    <xf numFmtId="0" fontId="55" fillId="0" borderId="49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172" fontId="74" fillId="0" borderId="74" xfId="0" applyNumberFormat="1" applyFont="1" applyFill="1" applyBorder="1" applyAlignment="1">
      <alignment horizontal="right" vertical="center"/>
    </xf>
    <xf numFmtId="172" fontId="88" fillId="0" borderId="0" xfId="0" applyNumberFormat="1" applyFont="1" applyFill="1" applyBorder="1" applyAlignment="1">
      <alignment horizontal="left" vertical="center"/>
    </xf>
    <xf numFmtId="0" fontId="86" fillId="0" borderId="0" xfId="0" applyFont="1"/>
    <xf numFmtId="0" fontId="19" fillId="0" borderId="4" xfId="0" applyNumberFormat="1" applyFont="1" applyFill="1" applyBorder="1" applyAlignment="1" applyProtection="1">
      <alignment vertical="top" wrapText="1"/>
    </xf>
    <xf numFmtId="0" fontId="33" fillId="0" borderId="43" xfId="0" applyNumberFormat="1" applyFont="1" applyFill="1" applyBorder="1" applyAlignment="1" applyProtection="1">
      <alignment horizontal="center" vertical="center" wrapText="1"/>
    </xf>
    <xf numFmtId="0" fontId="33" fillId="0" borderId="4" xfId="0" applyNumberFormat="1" applyFont="1" applyFill="1" applyBorder="1" applyAlignment="1" applyProtection="1">
      <alignment horizontal="center" vertical="center" wrapText="1"/>
    </xf>
    <xf numFmtId="0" fontId="33" fillId="0" borderId="43" xfId="0" applyFont="1" applyBorder="1" applyAlignment="1">
      <alignment horizontal="left" vertical="center"/>
    </xf>
    <xf numFmtId="0" fontId="33" fillId="0" borderId="4" xfId="0" applyFont="1" applyBorder="1" applyAlignment="1">
      <alignment horizontal="left" vertical="center"/>
    </xf>
    <xf numFmtId="172" fontId="74" fillId="0" borderId="33" xfId="0" applyNumberFormat="1" applyFont="1" applyFill="1" applyBorder="1" applyAlignment="1">
      <alignment horizontal="right" vertical="center"/>
    </xf>
    <xf numFmtId="172" fontId="88" fillId="0" borderId="0" xfId="0" applyNumberFormat="1" applyFont="1" applyFill="1" applyBorder="1" applyAlignment="1">
      <alignment horizontal="right" vertical="center"/>
    </xf>
    <xf numFmtId="0" fontId="10" fillId="0" borderId="4" xfId="0" applyNumberFormat="1" applyFont="1" applyFill="1" applyBorder="1" applyAlignment="1" applyProtection="1">
      <alignment vertical="center" wrapText="1"/>
    </xf>
    <xf numFmtId="172" fontId="89" fillId="0" borderId="0" xfId="0" applyNumberFormat="1" applyFont="1" applyFill="1" applyBorder="1" applyAlignment="1">
      <alignment horizontal="right" vertical="center"/>
    </xf>
    <xf numFmtId="172" fontId="55" fillId="0" borderId="74" xfId="0" applyNumberFormat="1" applyFont="1" applyFill="1" applyBorder="1" applyAlignment="1">
      <alignment horizontal="right" vertical="center"/>
    </xf>
    <xf numFmtId="172" fontId="55" fillId="0" borderId="33" xfId="0" applyNumberFormat="1" applyFont="1" applyFill="1" applyBorder="1" applyAlignment="1">
      <alignment horizontal="right" vertical="center"/>
    </xf>
    <xf numFmtId="0" fontId="33" fillId="0" borderId="72" xfId="0" applyNumberFormat="1" applyFont="1" applyFill="1" applyBorder="1" applyAlignment="1" applyProtection="1">
      <alignment horizontal="center" vertical="center" wrapText="1"/>
    </xf>
    <xf numFmtId="0" fontId="33" fillId="0" borderId="6" xfId="0" applyNumberFormat="1" applyFont="1" applyFill="1" applyBorder="1" applyAlignment="1" applyProtection="1">
      <alignment horizontal="center" vertical="center" wrapText="1"/>
    </xf>
    <xf numFmtId="0" fontId="57" fillId="0" borderId="7" xfId="0" applyNumberFormat="1" applyFont="1" applyFill="1" applyBorder="1" applyAlignment="1" applyProtection="1">
      <alignment horizontal="center" vertical="center" wrapText="1"/>
    </xf>
    <xf numFmtId="0" fontId="57" fillId="0" borderId="49" xfId="0" applyFont="1" applyBorder="1" applyAlignment="1">
      <alignment horizontal="left" vertical="center"/>
    </xf>
    <xf numFmtId="0" fontId="57" fillId="0" borderId="7" xfId="0" applyFont="1" applyBorder="1" applyAlignment="1">
      <alignment horizontal="left" vertical="center"/>
    </xf>
    <xf numFmtId="172" fontId="57" fillId="0" borderId="74" xfId="0" applyNumberFormat="1" applyFont="1" applyFill="1" applyBorder="1" applyAlignment="1">
      <alignment horizontal="right" vertical="center"/>
    </xf>
    <xf numFmtId="0" fontId="74" fillId="0" borderId="3" xfId="0" applyNumberFormat="1" applyFont="1" applyFill="1" applyBorder="1" applyAlignment="1" applyProtection="1">
      <alignment vertical="top" wrapText="1"/>
    </xf>
    <xf numFmtId="0" fontId="74" fillId="0" borderId="72" xfId="0" applyNumberFormat="1" applyFont="1" applyFill="1" applyBorder="1" applyAlignment="1" applyProtection="1">
      <alignment horizontal="center" vertical="center" wrapText="1"/>
    </xf>
    <xf numFmtId="0" fontId="55" fillId="0" borderId="72" xfId="0" applyNumberFormat="1" applyFont="1" applyFill="1" applyBorder="1" applyAlignment="1" applyProtection="1">
      <alignment horizontal="center" vertical="center" wrapText="1"/>
    </xf>
    <xf numFmtId="0" fontId="55" fillId="0" borderId="1" xfId="0" applyFont="1" applyBorder="1" applyAlignment="1">
      <alignment horizontal="left" vertical="center"/>
    </xf>
    <xf numFmtId="0" fontId="74" fillId="0" borderId="3" xfId="0" applyFont="1" applyBorder="1" applyAlignment="1">
      <alignment horizontal="left" vertical="center"/>
    </xf>
    <xf numFmtId="172" fontId="55" fillId="0" borderId="74" xfId="0" applyNumberFormat="1" applyFont="1" applyBorder="1" applyAlignment="1">
      <alignment horizontal="right" vertical="center"/>
    </xf>
    <xf numFmtId="0" fontId="57" fillId="0" borderId="72" xfId="0" applyNumberFormat="1" applyFont="1" applyFill="1" applyBorder="1" applyAlignment="1" applyProtection="1">
      <alignment horizontal="center" vertical="center" wrapText="1"/>
    </xf>
    <xf numFmtId="0" fontId="57" fillId="0" borderId="1" xfId="0" applyFont="1" applyBorder="1" applyAlignment="1">
      <alignment horizontal="left" vertical="center"/>
    </xf>
    <xf numFmtId="0" fontId="57" fillId="0" borderId="3" xfId="0" applyFont="1" applyBorder="1" applyAlignment="1">
      <alignment horizontal="left" vertical="center"/>
    </xf>
    <xf numFmtId="172" fontId="57" fillId="0" borderId="74" xfId="0" applyNumberFormat="1" applyFont="1" applyBorder="1" applyAlignment="1">
      <alignment horizontal="right" vertical="center"/>
    </xf>
    <xf numFmtId="0" fontId="74" fillId="0" borderId="7" xfId="0" applyNumberFormat="1" applyFont="1" applyFill="1" applyBorder="1" applyAlignment="1" applyProtection="1">
      <alignment vertical="top" wrapText="1"/>
    </xf>
    <xf numFmtId="0" fontId="74" fillId="0" borderId="49" xfId="0" applyNumberFormat="1" applyFont="1" applyFill="1" applyBorder="1" applyAlignment="1" applyProtection="1">
      <alignment horizontal="center" vertical="center" wrapText="1"/>
    </xf>
    <xf numFmtId="0" fontId="74" fillId="0" borderId="49" xfId="0" applyFont="1" applyBorder="1" applyAlignment="1">
      <alignment horizontal="left" vertical="center"/>
    </xf>
    <xf numFmtId="0" fontId="74" fillId="0" borderId="7" xfId="0" applyFont="1" applyBorder="1" applyAlignment="1">
      <alignment horizontal="left" vertical="center"/>
    </xf>
    <xf numFmtId="172" fontId="74" fillId="0" borderId="74" xfId="0" applyNumberFormat="1" applyFont="1" applyBorder="1" applyAlignment="1">
      <alignment horizontal="right" vertical="center"/>
    </xf>
    <xf numFmtId="172" fontId="90" fillId="0" borderId="0" xfId="0" applyNumberFormat="1" applyFont="1" applyBorder="1" applyAlignment="1">
      <alignment horizontal="right" vertical="center"/>
    </xf>
    <xf numFmtId="0" fontId="84" fillId="0" borderId="6" xfId="0" applyNumberFormat="1" applyFont="1" applyFill="1" applyBorder="1" applyAlignment="1" applyProtection="1">
      <alignment vertical="top" wrapText="1"/>
    </xf>
    <xf numFmtId="0" fontId="74" fillId="0" borderId="72" xfId="0" applyFont="1" applyBorder="1" applyAlignment="1">
      <alignment horizontal="left" vertical="center"/>
    </xf>
    <xf numFmtId="0" fontId="74" fillId="0" borderId="6" xfId="0" applyFont="1" applyBorder="1" applyAlignment="1">
      <alignment horizontal="left" vertical="center"/>
    </xf>
    <xf numFmtId="172" fontId="74" fillId="0" borderId="33" xfId="0" applyNumberFormat="1" applyFont="1" applyBorder="1" applyAlignment="1">
      <alignment horizontal="right" vertical="center"/>
    </xf>
    <xf numFmtId="0" fontId="74" fillId="0" borderId="57" xfId="0" applyFont="1" applyFill="1" applyBorder="1" applyAlignment="1">
      <alignment horizontal="center" vertical="center"/>
    </xf>
    <xf numFmtId="0" fontId="74" fillId="0" borderId="1" xfId="0" applyFont="1" applyBorder="1" applyAlignment="1">
      <alignment horizontal="left" vertical="center"/>
    </xf>
    <xf numFmtId="0" fontId="74" fillId="0" borderId="20" xfId="0" applyNumberFormat="1" applyFont="1" applyFill="1" applyBorder="1" applyAlignment="1" applyProtection="1">
      <alignment horizontal="center" vertical="top"/>
    </xf>
    <xf numFmtId="172" fontId="90" fillId="0" borderId="0" xfId="0" applyNumberFormat="1" applyFont="1" applyFill="1" applyBorder="1" applyAlignment="1" applyProtection="1">
      <alignment horizontal="right" vertical="top"/>
    </xf>
    <xf numFmtId="0" fontId="74" fillId="0" borderId="57" xfId="0" applyFont="1" applyFill="1" applyBorder="1" applyAlignment="1">
      <alignment horizontal="center"/>
    </xf>
    <xf numFmtId="0" fontId="34" fillId="0" borderId="39" xfId="0" applyFont="1" applyFill="1" applyBorder="1"/>
    <xf numFmtId="0" fontId="40" fillId="0" borderId="39" xfId="0" applyFont="1" applyFill="1" applyBorder="1"/>
    <xf numFmtId="0" fontId="77" fillId="0" borderId="39" xfId="0" applyFont="1" applyFill="1" applyBorder="1" applyAlignment="1">
      <alignment horizontal="center" vertical="center"/>
    </xf>
    <xf numFmtId="0" fontId="77" fillId="0" borderId="1" xfId="0" applyFont="1" applyFill="1" applyBorder="1" applyAlignment="1">
      <alignment horizontal="center" vertical="center"/>
    </xf>
    <xf numFmtId="0" fontId="77" fillId="0" borderId="3" xfId="0" applyFont="1" applyFill="1" applyBorder="1" applyAlignment="1">
      <alignment horizontal="left" vertical="center"/>
    </xf>
    <xf numFmtId="172" fontId="77" fillId="0" borderId="22" xfId="0" applyNumberFormat="1" applyFont="1" applyFill="1" applyBorder="1" applyAlignment="1">
      <alignment horizontal="right"/>
    </xf>
    <xf numFmtId="172" fontId="91" fillId="0" borderId="0" xfId="0" applyNumberFormat="1" applyFont="1" applyFill="1" applyBorder="1" applyAlignment="1">
      <alignment horizontal="right"/>
    </xf>
    <xf numFmtId="0" fontId="33" fillId="0" borderId="3" xfId="0" applyFont="1" applyFill="1" applyBorder="1" applyAlignment="1">
      <alignment vertical="center"/>
    </xf>
    <xf numFmtId="0" fontId="74" fillId="0" borderId="3" xfId="0" applyFont="1" applyFill="1" applyBorder="1" applyAlignment="1">
      <alignment horizontal="center" vertical="center"/>
    </xf>
    <xf numFmtId="172" fontId="77" fillId="0" borderId="22" xfId="0" applyNumberFormat="1" applyFont="1" applyFill="1" applyBorder="1" applyAlignment="1">
      <alignment horizontal="right" vertical="center"/>
    </xf>
    <xf numFmtId="0" fontId="77" fillId="0" borderId="57" xfId="0" applyFont="1" applyBorder="1" applyAlignment="1">
      <alignment vertical="center" wrapText="1"/>
    </xf>
    <xf numFmtId="0" fontId="74" fillId="0" borderId="0" xfId="0" applyFont="1" applyBorder="1" applyAlignment="1">
      <alignment vertical="center"/>
    </xf>
    <xf numFmtId="0" fontId="74" fillId="0" borderId="7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3" xfId="0" applyFont="1" applyBorder="1" applyAlignment="1">
      <alignment horizontal="center" vertical="center"/>
    </xf>
    <xf numFmtId="0" fontId="74" fillId="0" borderId="4" xfId="0" applyFont="1" applyBorder="1" applyAlignment="1">
      <alignment horizontal="left" vertical="center"/>
    </xf>
    <xf numFmtId="172" fontId="77" fillId="0" borderId="36" xfId="0" applyNumberFormat="1" applyFont="1" applyBorder="1" applyAlignment="1">
      <alignment vertical="center"/>
    </xf>
    <xf numFmtId="172" fontId="92" fillId="0" borderId="0" xfId="0" applyNumberFormat="1" applyFont="1" applyBorder="1"/>
    <xf numFmtId="0" fontId="33" fillId="0" borderId="51" xfId="0" applyFont="1" applyBorder="1"/>
    <xf numFmtId="0" fontId="33" fillId="0" borderId="7" xfId="0" applyFont="1" applyBorder="1" applyAlignment="1">
      <alignment horizontal="center" vertical="center"/>
    </xf>
    <xf numFmtId="0" fontId="33" fillId="0" borderId="51" xfId="0" applyFont="1" applyBorder="1" applyAlignment="1">
      <alignment horizontal="center" vertical="center"/>
    </xf>
    <xf numFmtId="172" fontId="33" fillId="0" borderId="74" xfId="0" applyNumberFormat="1" applyFont="1" applyBorder="1"/>
    <xf numFmtId="172" fontId="93" fillId="0" borderId="0" xfId="0" applyNumberFormat="1" applyFont="1" applyBorder="1"/>
    <xf numFmtId="0" fontId="33" fillId="0" borderId="0" xfId="0" applyFont="1" applyBorder="1"/>
    <xf numFmtId="0" fontId="33" fillId="0" borderId="4" xfId="0" applyFont="1" applyBorder="1"/>
    <xf numFmtId="0" fontId="33" fillId="0" borderId="0" xfId="0" applyFont="1" applyBorder="1" applyAlignment="1">
      <alignment horizontal="center" vertical="center"/>
    </xf>
    <xf numFmtId="172" fontId="33" fillId="0" borderId="33" xfId="0" applyNumberFormat="1" applyFont="1" applyBorder="1"/>
    <xf numFmtId="0" fontId="74" fillId="0" borderId="10" xfId="0" applyFont="1" applyBorder="1" applyAlignment="1">
      <alignment horizontal="center"/>
    </xf>
    <xf numFmtId="0" fontId="77" fillId="0" borderId="27" xfId="0" applyFont="1" applyFill="1" applyBorder="1"/>
    <xf numFmtId="172" fontId="77" fillId="0" borderId="26" xfId="0" applyNumberFormat="1" applyFont="1" applyFill="1" applyBorder="1"/>
    <xf numFmtId="172" fontId="91" fillId="0" borderId="0" xfId="0" applyNumberFormat="1" applyFont="1" applyFill="1" applyBorder="1"/>
    <xf numFmtId="0" fontId="77" fillId="0" borderId="53" xfId="0" applyFont="1" applyBorder="1" applyAlignment="1"/>
    <xf numFmtId="0" fontId="87" fillId="0" borderId="54" xfId="0" applyFont="1" applyBorder="1" applyAlignment="1"/>
    <xf numFmtId="0" fontId="74" fillId="0" borderId="54" xfId="0" applyFont="1" applyBorder="1" applyAlignment="1"/>
    <xf numFmtId="0" fontId="74" fillId="0" borderId="55" xfId="0" applyFont="1" applyBorder="1" applyAlignment="1"/>
    <xf numFmtId="0" fontId="93" fillId="0" borderId="0" xfId="0" applyFont="1" applyBorder="1"/>
    <xf numFmtId="0" fontId="74" fillId="0" borderId="15" xfId="0" applyFont="1" applyBorder="1" applyAlignment="1">
      <alignment horizontal="center" vertical="center"/>
    </xf>
    <xf numFmtId="0" fontId="33" fillId="0" borderId="7" xfId="0" applyNumberFormat="1" applyFont="1" applyFill="1" applyBorder="1" applyAlignment="1" applyProtection="1">
      <alignment vertical="center" wrapText="1"/>
    </xf>
    <xf numFmtId="0" fontId="33" fillId="0" borderId="49" xfId="0" applyFont="1" applyBorder="1" applyAlignment="1">
      <alignment vertical="center"/>
    </xf>
    <xf numFmtId="172" fontId="93" fillId="0" borderId="0" xfId="0" applyNumberFormat="1" applyFont="1" applyBorder="1" applyAlignment="1">
      <alignment vertical="center"/>
    </xf>
    <xf numFmtId="0" fontId="74" fillId="0" borderId="10" xfId="0" applyFont="1" applyFill="1" applyBorder="1" applyAlignment="1">
      <alignment horizontal="center"/>
    </xf>
    <xf numFmtId="0" fontId="77" fillId="0" borderId="27" xfId="0" applyFont="1" applyFill="1" applyBorder="1" applyAlignment="1">
      <alignment horizontal="center"/>
    </xf>
    <xf numFmtId="0" fontId="74" fillId="0" borderId="54" xfId="0" applyFont="1" applyBorder="1" applyAlignment="1">
      <alignment horizontal="center"/>
    </xf>
    <xf numFmtId="0" fontId="74" fillId="0" borderId="20" xfId="0" applyFont="1" applyBorder="1" applyAlignment="1">
      <alignment horizontal="center" vertical="center"/>
    </xf>
    <xf numFmtId="0" fontId="74" fillId="0" borderId="3" xfId="0" applyNumberFormat="1" applyFont="1" applyFill="1" applyBorder="1" applyAlignment="1" applyProtection="1">
      <alignment vertical="center" wrapText="1"/>
    </xf>
    <xf numFmtId="0" fontId="74" fillId="0" borderId="3" xfId="0" applyNumberFormat="1" applyFont="1" applyFill="1" applyBorder="1" applyAlignment="1" applyProtection="1">
      <alignment horizontal="center" vertical="center" wrapText="1"/>
    </xf>
    <xf numFmtId="0" fontId="74" fillId="0" borderId="1" xfId="0" applyNumberFormat="1" applyFont="1" applyFill="1" applyBorder="1" applyAlignment="1" applyProtection="1">
      <alignment horizontal="center" vertical="center" wrapText="1"/>
    </xf>
    <xf numFmtId="167" fontId="74" fillId="0" borderId="1" xfId="0" applyNumberFormat="1" applyFont="1" applyBorder="1" applyAlignment="1">
      <alignment horizontal="center" vertical="center"/>
    </xf>
    <xf numFmtId="0" fontId="74" fillId="0" borderId="3" xfId="0" applyFont="1" applyBorder="1" applyAlignment="1">
      <alignment vertical="center"/>
    </xf>
    <xf numFmtId="172" fontId="74" fillId="0" borderId="22" xfId="0" applyNumberFormat="1" applyFont="1" applyBorder="1" applyAlignment="1">
      <alignment vertical="center"/>
    </xf>
    <xf numFmtId="0" fontId="74" fillId="0" borderId="7" xfId="0" applyNumberFormat="1" applyFont="1" applyFill="1" applyBorder="1" applyAlignment="1" applyProtection="1">
      <alignment vertical="center" wrapText="1"/>
    </xf>
    <xf numFmtId="0" fontId="74" fillId="0" borderId="7" xfId="0" applyNumberFormat="1" applyFont="1" applyFill="1" applyBorder="1" applyAlignment="1" applyProtection="1">
      <alignment horizontal="center" vertical="center" wrapText="1"/>
    </xf>
    <xf numFmtId="0" fontId="74" fillId="0" borderId="49" xfId="0" applyFont="1" applyFill="1" applyBorder="1" applyAlignment="1">
      <alignment horizontal="center" vertical="center"/>
    </xf>
    <xf numFmtId="0" fontId="74" fillId="0" borderId="7" xfId="0" applyFont="1" applyFill="1" applyBorder="1" applyAlignment="1">
      <alignment vertical="center"/>
    </xf>
    <xf numFmtId="172" fontId="74" fillId="0" borderId="44" xfId="0" applyNumberFormat="1" applyFont="1" applyFill="1" applyBorder="1" applyAlignment="1">
      <alignment vertical="center"/>
    </xf>
    <xf numFmtId="172" fontId="93" fillId="0" borderId="0" xfId="0" applyNumberFormat="1" applyFont="1" applyFill="1" applyBorder="1" applyAlignment="1">
      <alignment vertical="center"/>
    </xf>
    <xf numFmtId="0" fontId="74" fillId="0" borderId="43" xfId="0" applyNumberFormat="1" applyFont="1" applyFill="1" applyBorder="1" applyAlignment="1" applyProtection="1">
      <alignment horizontal="center" vertical="center" wrapText="1"/>
    </xf>
    <xf numFmtId="0" fontId="74" fillId="0" borderId="43" xfId="0" applyFont="1" applyFill="1" applyBorder="1" applyAlignment="1">
      <alignment vertical="center"/>
    </xf>
    <xf numFmtId="0" fontId="74" fillId="0" borderId="4" xfId="0" applyFont="1" applyFill="1" applyBorder="1" applyAlignment="1">
      <alignment vertical="center"/>
    </xf>
    <xf numFmtId="172" fontId="74" fillId="0" borderId="36" xfId="0" applyNumberFormat="1" applyFont="1" applyFill="1" applyBorder="1" applyAlignment="1">
      <alignment vertical="center"/>
    </xf>
    <xf numFmtId="0" fontId="74" fillId="0" borderId="72" xfId="0" applyFont="1" applyFill="1" applyBorder="1" applyAlignment="1">
      <alignment vertical="center"/>
    </xf>
    <xf numFmtId="0" fontId="74" fillId="0" borderId="6" xfId="0" applyFont="1" applyFill="1" applyBorder="1" applyAlignment="1">
      <alignment vertical="center"/>
    </xf>
    <xf numFmtId="172" fontId="74" fillId="0" borderId="66" xfId="0" applyNumberFormat="1" applyFont="1" applyFill="1" applyBorder="1" applyAlignment="1">
      <alignment vertical="center"/>
    </xf>
    <xf numFmtId="0" fontId="74" fillId="0" borderId="1" xfId="0" applyNumberFormat="1" applyFont="1" applyFill="1" applyBorder="1" applyAlignment="1" applyProtection="1">
      <alignment vertical="center" wrapText="1"/>
    </xf>
    <xf numFmtId="0" fontId="74" fillId="0" borderId="1" xfId="0" applyFont="1" applyFill="1" applyBorder="1" applyAlignment="1">
      <alignment horizontal="center" vertical="center"/>
    </xf>
    <xf numFmtId="0" fontId="74" fillId="0" borderId="3" xfId="0" applyFont="1" applyFill="1" applyBorder="1" applyAlignment="1">
      <alignment vertical="center"/>
    </xf>
    <xf numFmtId="172" fontId="74" fillId="0" borderId="22" xfId="0" applyNumberFormat="1" applyFont="1" applyFill="1" applyBorder="1" applyAlignment="1">
      <alignment vertical="center"/>
    </xf>
    <xf numFmtId="0" fontId="77" fillId="0" borderId="3" xfId="0" applyFont="1" applyBorder="1" applyAlignment="1">
      <alignment vertical="center"/>
    </xf>
    <xf numFmtId="0" fontId="77" fillId="0" borderId="3" xfId="0" applyFont="1" applyBorder="1" applyAlignment="1">
      <alignment horizontal="center" vertical="center"/>
    </xf>
    <xf numFmtId="0" fontId="77" fillId="0" borderId="1" xfId="0" applyFont="1" applyBorder="1" applyAlignment="1">
      <alignment vertical="center"/>
    </xf>
    <xf numFmtId="0" fontId="74" fillId="0" borderId="1" xfId="0" applyFont="1" applyBorder="1" applyAlignment="1">
      <alignment vertical="center"/>
    </xf>
    <xf numFmtId="172" fontId="77" fillId="0" borderId="22" xfId="0" applyNumberFormat="1" applyFont="1" applyBorder="1" applyAlignment="1">
      <alignment vertical="center"/>
    </xf>
    <xf numFmtId="172" fontId="91" fillId="0" borderId="0" xfId="0" applyNumberFormat="1" applyFont="1" applyBorder="1" applyAlignment="1">
      <alignment vertical="center"/>
    </xf>
    <xf numFmtId="0" fontId="74" fillId="0" borderId="70" xfId="0" applyFont="1" applyBorder="1" applyAlignment="1">
      <alignment horizontal="center" vertical="center"/>
    </xf>
    <xf numFmtId="0" fontId="74" fillId="0" borderId="49" xfId="0" applyFont="1" applyBorder="1" applyAlignment="1">
      <alignment vertical="center"/>
    </xf>
    <xf numFmtId="0" fontId="74" fillId="0" borderId="49" xfId="0" applyFont="1" applyBorder="1" applyAlignment="1">
      <alignment horizontal="center" vertical="center"/>
    </xf>
    <xf numFmtId="0" fontId="74" fillId="0" borderId="7" xfId="0" applyFont="1" applyBorder="1" applyAlignment="1">
      <alignment vertical="center"/>
    </xf>
    <xf numFmtId="172" fontId="74" fillId="0" borderId="44" xfId="0" applyNumberFormat="1" applyFont="1" applyBorder="1" applyAlignment="1">
      <alignment vertical="center"/>
    </xf>
    <xf numFmtId="0" fontId="74" fillId="0" borderId="19" xfId="0" applyFont="1" applyBorder="1" applyAlignment="1">
      <alignment horizontal="center" vertical="center"/>
    </xf>
    <xf numFmtId="0" fontId="77" fillId="0" borderId="27" xfId="0" applyFont="1" applyFill="1" applyBorder="1" applyAlignment="1">
      <alignment vertical="center"/>
    </xf>
    <xf numFmtId="0" fontId="77" fillId="0" borderId="5" xfId="0" applyFont="1" applyFill="1" applyBorder="1" applyAlignment="1">
      <alignment vertical="center"/>
    </xf>
    <xf numFmtId="172" fontId="77" fillId="0" borderId="26" xfId="0" applyNumberFormat="1" applyFont="1" applyFill="1" applyBorder="1" applyAlignment="1">
      <alignment vertical="center"/>
    </xf>
    <xf numFmtId="172" fontId="91" fillId="0" borderId="0" xfId="0" applyNumberFormat="1" applyFont="1" applyFill="1" applyBorder="1" applyAlignment="1">
      <alignment vertical="center"/>
    </xf>
    <xf numFmtId="0" fontId="34" fillId="0" borderId="27" xfId="0" applyFont="1" applyBorder="1" applyAlignment="1">
      <alignment vertical="center"/>
    </xf>
    <xf numFmtId="0" fontId="34" fillId="0" borderId="5" xfId="0" applyFont="1" applyBorder="1" applyAlignment="1">
      <alignment vertical="center"/>
    </xf>
    <xf numFmtId="172" fontId="34" fillId="0" borderId="9" xfId="0" applyNumberFormat="1" applyFont="1" applyBorder="1" applyAlignment="1">
      <alignment vertical="center"/>
    </xf>
    <xf numFmtId="0" fontId="74" fillId="0" borderId="0" xfId="0" applyFont="1"/>
    <xf numFmtId="0" fontId="34" fillId="0" borderId="0" xfId="15" applyFont="1" applyFill="1" applyBorder="1" applyAlignment="1" applyProtection="1">
      <alignment vertical="center"/>
      <protection locked="0"/>
    </xf>
    <xf numFmtId="4" fontId="34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55" applyFont="1" applyFill="1" applyBorder="1" applyAlignment="1">
      <alignment vertical="center"/>
    </xf>
    <xf numFmtId="4" fontId="33" fillId="0" borderId="0" xfId="55" applyNumberFormat="1" applyFont="1" applyFill="1" applyBorder="1" applyAlignment="1" applyProtection="1">
      <alignment vertical="center"/>
      <protection locked="0"/>
    </xf>
    <xf numFmtId="2" fontId="33" fillId="0" borderId="0" xfId="55" applyNumberFormat="1" applyFont="1" applyBorder="1" applyAlignment="1" applyProtection="1">
      <alignment horizontal="left" vertical="center"/>
      <protection locked="0"/>
    </xf>
    <xf numFmtId="0" fontId="34" fillId="0" borderId="0" xfId="55" applyFont="1" applyFill="1" applyBorder="1" applyAlignment="1" applyProtection="1">
      <alignment horizontal="right" vertical="center"/>
      <protection locked="0"/>
    </xf>
    <xf numFmtId="4" fontId="51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55" applyFont="1" applyFill="1" applyBorder="1" applyAlignment="1" applyProtection="1">
      <alignment vertical="center"/>
      <protection locked="0"/>
    </xf>
    <xf numFmtId="0" fontId="33" fillId="0" borderId="0" xfId="55" applyFont="1" applyBorder="1" applyAlignment="1">
      <alignment horizontal="left" vertical="center"/>
    </xf>
    <xf numFmtId="0" fontId="96" fillId="0" borderId="0" xfId="15" applyFont="1" applyFill="1" applyAlignment="1"/>
    <xf numFmtId="0" fontId="33" fillId="0" borderId="0" xfId="55" applyFont="1" applyFill="1" applyBorder="1" applyAlignment="1" applyProtection="1">
      <alignment horizontal="left" vertical="center"/>
      <protection locked="0"/>
    </xf>
    <xf numFmtId="0" fontId="33" fillId="0" borderId="0" xfId="55" applyFont="1" applyBorder="1"/>
    <xf numFmtId="0" fontId="49" fillId="0" borderId="0" xfId="55" applyFont="1" applyFill="1" applyBorder="1" applyAlignment="1"/>
    <xf numFmtId="2" fontId="33" fillId="0" borderId="0" xfId="55" applyNumberFormat="1" applyFont="1" applyFill="1" applyBorder="1" applyAlignment="1" applyProtection="1">
      <alignment wrapText="1"/>
      <protection locked="0"/>
    </xf>
    <xf numFmtId="0" fontId="34" fillId="0" borderId="0" xfId="15" applyFont="1" applyFill="1" applyBorder="1" applyAlignment="1">
      <alignment horizontal="left"/>
    </xf>
    <xf numFmtId="2" fontId="34" fillId="0" borderId="0" xfId="15" applyNumberFormat="1" applyFont="1" applyFill="1" applyBorder="1" applyAlignment="1" applyProtection="1">
      <alignment vertical="center"/>
      <protection locked="0"/>
    </xf>
    <xf numFmtId="0" fontId="34" fillId="0" borderId="0" xfId="58" applyFont="1" applyAlignment="1" applyProtection="1">
      <alignment vertical="center"/>
    </xf>
    <xf numFmtId="0" fontId="33" fillId="0" borderId="0" xfId="0" applyFont="1"/>
    <xf numFmtId="0" fontId="38" fillId="0" borderId="0" xfId="58" applyFont="1" applyAlignment="1" applyProtection="1">
      <alignment vertical="center"/>
    </xf>
    <xf numFmtId="0" fontId="33" fillId="0" borderId="0" xfId="58" applyFont="1" applyAlignment="1" applyProtection="1">
      <alignment vertical="center"/>
    </xf>
    <xf numFmtId="0" fontId="97" fillId="0" borderId="0" xfId="58" applyFont="1" applyAlignment="1" applyProtection="1">
      <alignment vertical="center" wrapText="1"/>
    </xf>
    <xf numFmtId="0" fontId="33" fillId="0" borderId="0" xfId="58" applyFont="1" applyAlignment="1" applyProtection="1">
      <alignment horizontal="center" vertical="center"/>
    </xf>
    <xf numFmtId="0" fontId="33" fillId="0" borderId="0" xfId="58" applyFont="1" applyAlignment="1" applyProtection="1">
      <alignment horizontal="left" vertical="center" wrapText="1"/>
    </xf>
    <xf numFmtId="0" fontId="34" fillId="0" borderId="48" xfId="0" applyFont="1" applyFill="1" applyBorder="1" applyAlignment="1">
      <alignment horizontal="center" vertical="center" wrapText="1"/>
    </xf>
    <xf numFmtId="0" fontId="34" fillId="0" borderId="23" xfId="0" applyFont="1" applyFill="1" applyBorder="1" applyAlignment="1">
      <alignment horizontal="center" vertical="center"/>
    </xf>
    <xf numFmtId="0" fontId="34" fillId="0" borderId="23" xfId="0" applyFont="1" applyFill="1" applyBorder="1" applyAlignment="1">
      <alignment horizontal="center" wrapText="1"/>
    </xf>
    <xf numFmtId="0" fontId="34" fillId="0" borderId="23" xfId="0" applyFont="1" applyFill="1" applyBorder="1" applyAlignment="1">
      <alignment horizontal="center" vertical="center" wrapText="1"/>
    </xf>
    <xf numFmtId="4" fontId="34" fillId="0" borderId="24" xfId="0" applyNumberFormat="1" applyFont="1" applyFill="1" applyBorder="1" applyAlignment="1">
      <alignment horizontal="center" wrapText="1"/>
    </xf>
    <xf numFmtId="0" fontId="34" fillId="0" borderId="70" xfId="0" applyFont="1" applyFill="1" applyBorder="1" applyAlignment="1">
      <alignment horizontal="center"/>
    </xf>
    <xf numFmtId="0" fontId="34" fillId="0" borderId="7" xfId="0" applyFont="1" applyFill="1" applyBorder="1" applyAlignment="1">
      <alignment horizontal="center"/>
    </xf>
    <xf numFmtId="3" fontId="34" fillId="0" borderId="44" xfId="0" applyNumberFormat="1" applyFont="1" applyFill="1" applyBorder="1" applyAlignment="1">
      <alignment horizontal="center"/>
    </xf>
    <xf numFmtId="0" fontId="34" fillId="0" borderId="10" xfId="0" applyFont="1" applyFill="1" applyBorder="1" applyAlignment="1">
      <alignment vertical="center"/>
    </xf>
    <xf numFmtId="0" fontId="34" fillId="0" borderId="26" xfId="0" applyFont="1" applyFill="1" applyBorder="1" applyAlignment="1">
      <alignment vertical="center"/>
    </xf>
    <xf numFmtId="0" fontId="33" fillId="0" borderId="6" xfId="0" applyFont="1" applyFill="1" applyBorder="1" applyAlignment="1">
      <alignment vertical="center" wrapText="1"/>
    </xf>
    <xf numFmtId="0" fontId="33" fillId="0" borderId="6" xfId="0" applyFont="1" applyFill="1" applyBorder="1" applyAlignment="1">
      <alignment vertical="center" wrapText="1" shrinkToFit="1"/>
    </xf>
    <xf numFmtId="0" fontId="33" fillId="0" borderId="6" xfId="0" applyFont="1" applyFill="1" applyBorder="1" applyAlignment="1">
      <alignment horizontal="center" vertical="center" wrapText="1" shrinkToFit="1"/>
    </xf>
    <xf numFmtId="4" fontId="33" fillId="0" borderId="66" xfId="0" applyNumberFormat="1" applyFont="1" applyFill="1" applyBorder="1" applyAlignment="1">
      <alignment horizontal="center" vertical="center" wrapText="1" shrinkToFit="1"/>
    </xf>
    <xf numFmtId="49" fontId="33" fillId="0" borderId="3" xfId="0" applyNumberFormat="1" applyFont="1" applyFill="1" applyBorder="1" applyAlignment="1">
      <alignment vertical="center" wrapText="1" shrinkToFit="1"/>
    </xf>
    <xf numFmtId="0" fontId="33" fillId="0" borderId="3" xfId="0" applyFont="1" applyFill="1" applyBorder="1" applyAlignment="1">
      <alignment horizontal="center" vertical="center" wrapText="1" shrinkToFit="1"/>
    </xf>
    <xf numFmtId="4" fontId="33" fillId="0" borderId="22" xfId="0" applyNumberFormat="1" applyFont="1" applyFill="1" applyBorder="1" applyAlignment="1">
      <alignment horizontal="center" vertical="center" wrapText="1" shrinkToFit="1"/>
    </xf>
    <xf numFmtId="0" fontId="33" fillId="0" borderId="20" xfId="0" applyFont="1" applyFill="1" applyBorder="1" applyAlignment="1">
      <alignment horizontal="center" vertical="center"/>
    </xf>
    <xf numFmtId="3" fontId="33" fillId="0" borderId="3" xfId="0" applyNumberFormat="1" applyFont="1" applyFill="1" applyBorder="1" applyAlignment="1">
      <alignment horizontal="center" vertical="center" wrapText="1" shrinkToFit="1"/>
    </xf>
    <xf numFmtId="0" fontId="33" fillId="0" borderId="57" xfId="0" applyFont="1" applyFill="1" applyBorder="1" applyAlignment="1">
      <alignment horizontal="center" vertical="center"/>
    </xf>
    <xf numFmtId="3" fontId="57" fillId="0" borderId="3" xfId="0" applyNumberFormat="1" applyFont="1" applyFill="1" applyBorder="1" applyAlignment="1">
      <alignment horizontal="center" vertical="center" wrapText="1" shrinkToFit="1"/>
    </xf>
    <xf numFmtId="49" fontId="34" fillId="0" borderId="3" xfId="0" applyNumberFormat="1" applyFont="1" applyFill="1" applyBorder="1" applyAlignment="1">
      <alignment vertical="center" wrapText="1" shrinkToFit="1"/>
    </xf>
    <xf numFmtId="0" fontId="34" fillId="0" borderId="3" xfId="0" applyFont="1" applyFill="1" applyBorder="1" applyAlignment="1">
      <alignment horizontal="center" vertical="center" wrapText="1" shrinkToFit="1"/>
    </xf>
    <xf numFmtId="4" fontId="34" fillId="0" borderId="22" xfId="0" applyNumberFormat="1" applyFont="1" applyFill="1" applyBorder="1" applyAlignment="1">
      <alignment horizontal="center" vertical="center" wrapText="1" shrinkToFit="1"/>
    </xf>
    <xf numFmtId="3" fontId="33" fillId="0" borderId="22" xfId="0" applyNumberFormat="1" applyFont="1" applyFill="1" applyBorder="1" applyAlignment="1">
      <alignment horizontal="center" vertical="center" wrapText="1" shrinkToFit="1"/>
    </xf>
    <xf numFmtId="0" fontId="33" fillId="0" borderId="0" xfId="0" applyFont="1" applyBorder="1" applyAlignment="1">
      <alignment horizontal="center" vertical="center" wrapText="1"/>
    </xf>
    <xf numFmtId="49" fontId="34" fillId="0" borderId="76" xfId="0" applyNumberFormat="1" applyFont="1" applyFill="1" applyBorder="1" applyAlignment="1">
      <alignment vertical="center" wrapText="1" shrinkToFit="1"/>
    </xf>
    <xf numFmtId="49" fontId="34" fillId="0" borderId="49" xfId="0" applyNumberFormat="1" applyFont="1" applyFill="1" applyBorder="1" applyAlignment="1">
      <alignment vertical="center" wrapText="1" shrinkToFit="1"/>
    </xf>
    <xf numFmtId="49" fontId="34" fillId="0" borderId="51" xfId="0" applyNumberFormat="1" applyFont="1" applyFill="1" applyBorder="1" applyAlignment="1">
      <alignment vertical="center" wrapText="1" shrinkToFit="1"/>
    </xf>
    <xf numFmtId="49" fontId="34" fillId="0" borderId="50" xfId="0" applyNumberFormat="1" applyFont="1" applyFill="1" applyBorder="1" applyAlignment="1">
      <alignment vertical="center" wrapText="1" shrinkToFit="1"/>
    </xf>
    <xf numFmtId="4" fontId="34" fillId="0" borderId="44" xfId="0" applyNumberFormat="1" applyFont="1" applyFill="1" applyBorder="1" applyAlignment="1">
      <alignment horizontal="center" vertical="center" wrapText="1" shrinkToFit="1"/>
    </xf>
    <xf numFmtId="4" fontId="34" fillId="0" borderId="9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/>
    </xf>
    <xf numFmtId="4" fontId="33" fillId="0" borderId="0" xfId="0" applyNumberFormat="1" applyFont="1" applyAlignment="1">
      <alignment horizontal="center"/>
    </xf>
    <xf numFmtId="0" fontId="34" fillId="0" borderId="32" xfId="0" applyFont="1" applyFill="1" applyBorder="1" applyAlignment="1">
      <alignment horizontal="left" vertical="center" indent="1"/>
    </xf>
    <xf numFmtId="0" fontId="34" fillId="0" borderId="3" xfId="0" applyFont="1" applyFill="1" applyBorder="1" applyAlignment="1">
      <alignment horizontal="left" vertical="center" indent="1"/>
    </xf>
    <xf numFmtId="0" fontId="33" fillId="0" borderId="3" xfId="0" applyFont="1" applyFill="1" applyBorder="1" applyAlignment="1">
      <alignment horizontal="center" vertical="center"/>
    </xf>
    <xf numFmtId="0" fontId="33" fillId="0" borderId="22" xfId="0" applyFont="1" applyFill="1" applyBorder="1" applyAlignment="1">
      <alignment horizontal="center" vertical="center"/>
    </xf>
    <xf numFmtId="0" fontId="95" fillId="0" borderId="70" xfId="0" applyFont="1" applyFill="1" applyBorder="1" applyAlignment="1">
      <alignment horizontal="center" vertical="center"/>
    </xf>
    <xf numFmtId="1" fontId="94" fillId="0" borderId="51" xfId="0" applyNumberFormat="1" applyFont="1" applyFill="1" applyBorder="1" applyAlignment="1">
      <alignment horizontal="left" vertical="center"/>
    </xf>
    <xf numFmtId="0" fontId="95" fillId="0" borderId="51" xfId="0" applyFont="1" applyFill="1" applyBorder="1" applyAlignment="1">
      <alignment horizontal="center" vertical="center"/>
    </xf>
    <xf numFmtId="0" fontId="95" fillId="0" borderId="44" xfId="0" applyFont="1" applyFill="1" applyBorder="1" applyAlignment="1">
      <alignment horizontal="center" vertical="center"/>
    </xf>
    <xf numFmtId="0" fontId="95" fillId="0" borderId="0" xfId="0" applyFont="1" applyFill="1"/>
    <xf numFmtId="0" fontId="34" fillId="0" borderId="10" xfId="26" applyFont="1" applyFill="1" applyBorder="1" applyAlignment="1" applyProtection="1">
      <alignment horizontal="center" vertical="center"/>
      <protection locked="0"/>
    </xf>
    <xf numFmtId="0" fontId="33" fillId="0" borderId="9" xfId="26" applyFont="1" applyFill="1" applyBorder="1"/>
    <xf numFmtId="4" fontId="74" fillId="0" borderId="46" xfId="17" applyNumberFormat="1" applyFont="1" applyFill="1" applyBorder="1" applyAlignment="1">
      <alignment horizontal="right"/>
    </xf>
    <xf numFmtId="167" fontId="74" fillId="0" borderId="24" xfId="26" applyNumberFormat="1" applyFont="1" applyFill="1" applyBorder="1" applyAlignment="1">
      <alignment horizontal="center"/>
    </xf>
    <xf numFmtId="4" fontId="74" fillId="0" borderId="1" xfId="17" applyNumberFormat="1" applyFont="1" applyFill="1" applyBorder="1"/>
    <xf numFmtId="3" fontId="74" fillId="0" borderId="22" xfId="26" applyNumberFormat="1" applyFont="1" applyFill="1" applyBorder="1"/>
    <xf numFmtId="0" fontId="74" fillId="0" borderId="38" xfId="26" applyFont="1" applyFill="1" applyBorder="1"/>
    <xf numFmtId="4" fontId="74" fillId="0" borderId="1" xfId="26" applyNumberFormat="1" applyFont="1" applyFill="1" applyBorder="1"/>
    <xf numFmtId="0" fontId="74" fillId="0" borderId="22" xfId="26" applyFont="1" applyFill="1" applyBorder="1"/>
    <xf numFmtId="0" fontId="77" fillId="0" borderId="15" xfId="26" applyFont="1" applyFill="1" applyBorder="1"/>
    <xf numFmtId="4" fontId="74" fillId="0" borderId="1" xfId="26" applyNumberFormat="1" applyFont="1" applyFill="1" applyBorder="1" applyAlignment="1"/>
    <xf numFmtId="0" fontId="74" fillId="0" borderId="22" xfId="26" applyFont="1" applyFill="1" applyBorder="1" applyAlignment="1"/>
    <xf numFmtId="0" fontId="78" fillId="0" borderId="76" xfId="26" applyFont="1" applyFill="1" applyBorder="1"/>
    <xf numFmtId="0" fontId="74" fillId="0" borderId="57" xfId="26" applyFont="1" applyFill="1" applyBorder="1" applyAlignment="1">
      <alignment vertical="center"/>
    </xf>
    <xf numFmtId="4" fontId="74" fillId="0" borderId="1" xfId="26" applyNumberFormat="1" applyFont="1" applyFill="1" applyBorder="1" applyAlignment="1">
      <alignment vertical="center"/>
    </xf>
    <xf numFmtId="0" fontId="74" fillId="0" borderId="22" xfId="26" applyFont="1" applyFill="1" applyBorder="1" applyAlignment="1">
      <alignment vertical="center"/>
    </xf>
    <xf numFmtId="2" fontId="74" fillId="0" borderId="22" xfId="26" applyNumberFormat="1" applyFont="1" applyFill="1" applyBorder="1" applyAlignment="1">
      <alignment vertical="center"/>
    </xf>
    <xf numFmtId="4" fontId="74" fillId="3" borderId="1" xfId="26" applyNumberFormat="1" applyFont="1" applyFill="1" applyBorder="1"/>
    <xf numFmtId="2" fontId="74" fillId="3" borderId="22" xfId="26" applyNumberFormat="1" applyFont="1" applyFill="1" applyBorder="1"/>
    <xf numFmtId="0" fontId="74" fillId="0" borderId="57" xfId="26" applyFont="1" applyFill="1" applyBorder="1"/>
    <xf numFmtId="2" fontId="74" fillId="0" borderId="22" xfId="26" applyNumberFormat="1" applyFont="1" applyFill="1" applyBorder="1"/>
    <xf numFmtId="0" fontId="78" fillId="0" borderId="57" xfId="26" applyFont="1" applyFill="1" applyBorder="1"/>
    <xf numFmtId="4" fontId="77" fillId="0" borderId="1" xfId="26" applyNumberFormat="1" applyFont="1" applyFill="1" applyBorder="1"/>
    <xf numFmtId="166" fontId="77" fillId="0" borderId="22" xfId="26" applyNumberFormat="1" applyFont="1" applyFill="1" applyBorder="1"/>
    <xf numFmtId="0" fontId="77" fillId="0" borderId="22" xfId="26" applyFont="1" applyFill="1" applyBorder="1"/>
    <xf numFmtId="0" fontId="78" fillId="0" borderId="15" xfId="26" applyFont="1" applyFill="1" applyBorder="1"/>
    <xf numFmtId="171" fontId="74" fillId="0" borderId="1" xfId="26" applyNumberFormat="1" applyFont="1" applyFill="1" applyBorder="1"/>
    <xf numFmtId="0" fontId="74" fillId="3" borderId="57" xfId="26" applyFont="1" applyFill="1" applyBorder="1"/>
    <xf numFmtId="171" fontId="74" fillId="3" borderId="78" xfId="26" applyNumberFormat="1" applyFont="1" applyFill="1" applyBorder="1"/>
    <xf numFmtId="166" fontId="79" fillId="0" borderId="22" xfId="26" applyNumberFormat="1" applyFont="1" applyFill="1" applyBorder="1"/>
    <xf numFmtId="0" fontId="74" fillId="3" borderId="38" xfId="26" applyFont="1" applyFill="1" applyBorder="1"/>
    <xf numFmtId="0" fontId="78" fillId="0" borderId="38" xfId="26" applyFont="1" applyFill="1" applyBorder="1"/>
    <xf numFmtId="171" fontId="77" fillId="0" borderId="1" xfId="26" applyNumberFormat="1" applyFont="1" applyFill="1" applyBorder="1"/>
    <xf numFmtId="4" fontId="73" fillId="0" borderId="1" xfId="26" applyNumberFormat="1" applyFont="1" applyFill="1" applyBorder="1"/>
    <xf numFmtId="2" fontId="73" fillId="0" borderId="22" xfId="26" applyNumberFormat="1" applyFont="1" applyFill="1" applyBorder="1"/>
    <xf numFmtId="2" fontId="73" fillId="0" borderId="0" xfId="26" applyNumberFormat="1" applyFont="1" applyFill="1" applyBorder="1"/>
    <xf numFmtId="0" fontId="33" fillId="0" borderId="38" xfId="26" applyFont="1" applyFill="1" applyBorder="1"/>
    <xf numFmtId="4" fontId="33" fillId="0" borderId="1" xfId="26" applyNumberFormat="1" applyFont="1" applyFill="1" applyBorder="1"/>
    <xf numFmtId="0" fontId="77" fillId="0" borderId="28" xfId="26" applyFont="1" applyFill="1" applyBorder="1"/>
    <xf numFmtId="3" fontId="77" fillId="0" borderId="77" xfId="26" applyNumberFormat="1" applyFont="1" applyFill="1" applyBorder="1"/>
    <xf numFmtId="0" fontId="77" fillId="0" borderId="10" xfId="26" applyFont="1" applyFill="1" applyBorder="1" applyAlignment="1">
      <alignment horizontal="center" vertical="center"/>
    </xf>
    <xf numFmtId="0" fontId="77" fillId="0" borderId="10" xfId="26" applyFont="1" applyFill="1" applyBorder="1"/>
    <xf numFmtId="4" fontId="74" fillId="0" borderId="8" xfId="26" applyNumberFormat="1" applyFont="1" applyFill="1" applyBorder="1"/>
    <xf numFmtId="0" fontId="51" fillId="0" borderId="9" xfId="26" applyFont="1" applyFill="1" applyBorder="1"/>
    <xf numFmtId="4" fontId="74" fillId="0" borderId="72" xfId="26" applyNumberFormat="1" applyFont="1" applyFill="1" applyBorder="1" applyAlignment="1">
      <alignment vertical="center"/>
    </xf>
    <xf numFmtId="4" fontId="33" fillId="0" borderId="1" xfId="26" applyNumberFormat="1" applyFont="1" applyFill="1" applyBorder="1" applyAlignment="1">
      <alignment vertical="center"/>
    </xf>
    <xf numFmtId="4" fontId="34" fillId="0" borderId="1" xfId="26" applyNumberFormat="1" applyFont="1" applyFill="1" applyBorder="1" applyAlignment="1">
      <alignment vertical="center"/>
    </xf>
    <xf numFmtId="4" fontId="77" fillId="0" borderId="1" xfId="26" applyNumberFormat="1" applyFont="1" applyFill="1" applyBorder="1" applyAlignment="1">
      <alignment vertical="center"/>
    </xf>
    <xf numFmtId="171" fontId="74" fillId="0" borderId="1" xfId="26" applyNumberFormat="1" applyFont="1" applyFill="1" applyBorder="1" applyAlignment="1">
      <alignment vertical="center"/>
    </xf>
    <xf numFmtId="171" fontId="77" fillId="0" borderId="1" xfId="26" applyNumberFormat="1" applyFont="1" applyFill="1" applyBorder="1" applyAlignment="1">
      <alignment vertical="center"/>
    </xf>
    <xf numFmtId="4" fontId="73" fillId="0" borderId="1" xfId="26" applyNumberFormat="1" applyFont="1" applyFill="1" applyBorder="1" applyAlignment="1">
      <alignment vertical="center"/>
    </xf>
    <xf numFmtId="3" fontId="63" fillId="0" borderId="77" xfId="26" applyNumberFormat="1" applyFont="1" applyFill="1" applyBorder="1" applyAlignment="1">
      <alignment vertical="center"/>
    </xf>
    <xf numFmtId="2" fontId="34" fillId="0" borderId="8" xfId="26" applyNumberFormat="1" applyFont="1" applyFill="1" applyBorder="1" applyAlignment="1" applyProtection="1">
      <alignment vertical="center" wrapText="1"/>
      <protection locked="0"/>
    </xf>
    <xf numFmtId="2" fontId="34" fillId="0" borderId="27" xfId="26" applyNumberFormat="1" applyFont="1" applyFill="1" applyBorder="1" applyAlignment="1" applyProtection="1">
      <alignment vertical="center" wrapText="1"/>
      <protection locked="0"/>
    </xf>
    <xf numFmtId="4" fontId="34" fillId="0" borderId="26" xfId="26" applyNumberFormat="1" applyFont="1" applyFill="1" applyBorder="1" applyAlignment="1" applyProtection="1">
      <alignment horizontal="right" vertical="center"/>
      <protection locked="0"/>
    </xf>
    <xf numFmtId="4" fontId="34" fillId="0" borderId="26" xfId="26" applyNumberFormat="1" applyFont="1" applyFill="1" applyBorder="1" applyAlignment="1">
      <alignment vertical="center"/>
    </xf>
    <xf numFmtId="2" fontId="33" fillId="0" borderId="0" xfId="0" applyNumberFormat="1" applyFont="1" applyFill="1" applyAlignment="1">
      <alignment vertical="distributed"/>
    </xf>
    <xf numFmtId="2" fontId="33" fillId="0" borderId="15" xfId="0" applyNumberFormat="1" applyFont="1" applyFill="1" applyBorder="1" applyAlignment="1">
      <alignment horizontal="right"/>
    </xf>
    <xf numFmtId="1" fontId="33" fillId="0" borderId="0" xfId="0" applyNumberFormat="1" applyFont="1" applyFill="1" applyBorder="1" applyAlignment="1">
      <alignment horizontal="left"/>
    </xf>
    <xf numFmtId="2" fontId="33" fillId="0" borderId="15" xfId="0" applyNumberFormat="1" applyFont="1" applyFill="1" applyBorder="1" applyAlignment="1">
      <alignment horizontal="right" vertical="distributed"/>
    </xf>
    <xf numFmtId="2" fontId="33" fillId="0" borderId="0" xfId="0" applyNumberFormat="1" applyFont="1" applyFill="1" applyBorder="1" applyAlignment="1">
      <alignment horizontal="left" vertical="distributed"/>
    </xf>
    <xf numFmtId="0" fontId="33" fillId="0" borderId="15" xfId="0" applyFont="1" applyFill="1" applyBorder="1" applyAlignment="1">
      <alignment horizontal="right"/>
    </xf>
    <xf numFmtId="0" fontId="33" fillId="0" borderId="0" xfId="0" applyFont="1" applyFill="1" applyBorder="1" applyAlignment="1">
      <alignment horizontal="left"/>
    </xf>
    <xf numFmtId="2" fontId="33" fillId="0" borderId="0" xfId="0" applyNumberFormat="1" applyFont="1" applyFill="1" applyBorder="1" applyAlignment="1">
      <alignment horizontal="left"/>
    </xf>
    <xf numFmtId="0" fontId="33" fillId="0" borderId="28" xfId="0" applyFont="1" applyFill="1" applyBorder="1" applyAlignment="1">
      <alignment horizontal="right"/>
    </xf>
    <xf numFmtId="0" fontId="33" fillId="0" borderId="34" xfId="0" applyFont="1" applyFill="1" applyBorder="1" applyAlignment="1">
      <alignment horizontal="left"/>
    </xf>
    <xf numFmtId="0" fontId="34" fillId="0" borderId="27" xfId="0" applyFont="1" applyFill="1" applyBorder="1" applyAlignment="1">
      <alignment vertical="center"/>
    </xf>
    <xf numFmtId="0" fontId="34" fillId="0" borderId="18" xfId="0" applyFont="1" applyFill="1" applyBorder="1" applyAlignment="1">
      <alignment vertical="center"/>
    </xf>
    <xf numFmtId="0" fontId="33" fillId="0" borderId="0" xfId="0" applyFont="1" applyFill="1" applyAlignment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/>
    <xf numFmtId="0" fontId="40" fillId="0" borderId="0" xfId="5" applyFont="1" applyAlignment="1">
      <alignment vertical="center" wrapText="1"/>
    </xf>
    <xf numFmtId="0" fontId="40" fillId="0" borderId="0" xfId="13" applyFont="1" applyBorder="1" applyAlignment="1" applyProtection="1">
      <alignment vertical="center" wrapText="1"/>
      <protection locked="0"/>
    </xf>
    <xf numFmtId="0" fontId="33" fillId="0" borderId="0" xfId="13" applyFont="1" applyBorder="1" applyAlignment="1" applyProtection="1">
      <alignment vertical="center"/>
      <protection locked="0"/>
    </xf>
    <xf numFmtId="2" fontId="38" fillId="0" borderId="0" xfId="13" applyNumberFormat="1" applyFont="1" applyBorder="1" applyAlignment="1" applyProtection="1">
      <alignment horizontal="center" vertical="center" wrapText="1"/>
      <protection locked="0"/>
    </xf>
    <xf numFmtId="0" fontId="38" fillId="0" borderId="0" xfId="13" applyFont="1" applyBorder="1" applyAlignment="1" applyProtection="1">
      <alignment horizontal="center" vertical="center" wrapText="1"/>
      <protection locked="0"/>
    </xf>
    <xf numFmtId="0" fontId="33" fillId="0" borderId="0" xfId="5" applyFont="1" applyAlignment="1">
      <alignment horizontal="center" vertical="center"/>
    </xf>
    <xf numFmtId="0" fontId="34" fillId="0" borderId="3" xfId="5" applyFont="1" applyBorder="1" applyAlignment="1">
      <alignment horizontal="center" vertical="center" wrapText="1"/>
    </xf>
    <xf numFmtId="0" fontId="40" fillId="0" borderId="3" xfId="5" applyFont="1" applyBorder="1" applyAlignment="1">
      <alignment vertical="center" wrapText="1"/>
    </xf>
    <xf numFmtId="0" fontId="33" fillId="0" borderId="3" xfId="5" applyFont="1" applyBorder="1" applyAlignment="1">
      <alignment vertical="center"/>
    </xf>
    <xf numFmtId="0" fontId="33" fillId="0" borderId="3" xfId="5" applyFont="1" applyBorder="1" applyAlignment="1">
      <alignment horizontal="center" vertical="center" wrapText="1"/>
    </xf>
    <xf numFmtId="0" fontId="33" fillId="0" borderId="3" xfId="5" applyFont="1" applyBorder="1" applyAlignment="1">
      <alignment vertical="center" wrapText="1"/>
    </xf>
    <xf numFmtId="4" fontId="33" fillId="0" borderId="3" xfId="5" applyNumberFormat="1" applyFont="1" applyBorder="1" applyAlignment="1">
      <alignment horizontal="center" vertical="center"/>
    </xf>
    <xf numFmtId="0" fontId="33" fillId="0" borderId="3" xfId="5" applyFont="1" applyBorder="1" applyAlignment="1">
      <alignment horizontal="right" vertical="center"/>
    </xf>
    <xf numFmtId="0" fontId="57" fillId="0" borderId="3" xfId="3" quotePrefix="1" applyFont="1" applyBorder="1" applyAlignment="1">
      <alignment horizontal="center" vertical="center" wrapText="1"/>
    </xf>
    <xf numFmtId="0" fontId="33" fillId="0" borderId="3" xfId="5" applyFont="1" applyBorder="1" applyAlignment="1">
      <alignment horizontal="center" vertical="center"/>
    </xf>
    <xf numFmtId="0" fontId="34" fillId="0" borderId="3" xfId="5" applyFont="1" applyBorder="1" applyAlignment="1">
      <alignment vertical="center"/>
    </xf>
    <xf numFmtId="0" fontId="33" fillId="0" borderId="3" xfId="5" applyFont="1" applyBorder="1" applyAlignment="1">
      <alignment horizontal="left" vertical="center" wrapText="1"/>
    </xf>
    <xf numFmtId="0" fontId="33" fillId="0" borderId="3" xfId="5" applyFont="1" applyBorder="1" applyAlignment="1">
      <alignment horizontal="left" vertical="center"/>
    </xf>
    <xf numFmtId="165" fontId="40" fillId="0" borderId="3" xfId="5" applyNumberFormat="1" applyFont="1" applyBorder="1" applyAlignment="1">
      <alignment vertical="center" wrapText="1"/>
    </xf>
    <xf numFmtId="0" fontId="34" fillId="0" borderId="3" xfId="5" applyFont="1" applyFill="1" applyBorder="1" applyAlignment="1">
      <alignment horizontal="center" vertical="center" wrapText="1"/>
    </xf>
    <xf numFmtId="164" fontId="40" fillId="0" borderId="3" xfId="5" applyNumberFormat="1" applyFont="1" applyFill="1" applyBorder="1" applyAlignment="1">
      <alignment vertical="center" wrapText="1"/>
    </xf>
    <xf numFmtId="164" fontId="33" fillId="0" borderId="3" xfId="5" applyNumberFormat="1" applyFont="1" applyFill="1" applyBorder="1" applyAlignment="1">
      <alignment vertical="center"/>
    </xf>
    <xf numFmtId="0" fontId="33" fillId="0" borderId="0" xfId="5" applyFont="1" applyFill="1" applyAlignment="1">
      <alignment vertical="center"/>
    </xf>
    <xf numFmtId="0" fontId="34" fillId="0" borderId="0" xfId="13" applyFont="1" applyBorder="1" applyAlignment="1" applyProtection="1">
      <alignment vertical="center"/>
      <protection locked="0"/>
    </xf>
    <xf numFmtId="0" fontId="34" fillId="0" borderId="0" xfId="13" applyFont="1" applyBorder="1" applyAlignment="1" applyProtection="1">
      <alignment horizontal="center" vertical="center"/>
      <protection locked="0"/>
    </xf>
    <xf numFmtId="2" fontId="34" fillId="0" borderId="0" xfId="13" applyNumberFormat="1" applyFont="1" applyBorder="1" applyAlignment="1" applyProtection="1">
      <alignment horizontal="left" vertical="center"/>
      <protection locked="0"/>
    </xf>
    <xf numFmtId="0" fontId="53" fillId="0" borderId="0" xfId="5" applyFont="1" applyAlignment="1">
      <alignment vertical="center"/>
    </xf>
    <xf numFmtId="0" fontId="33" fillId="0" borderId="0" xfId="15" applyFont="1" applyBorder="1" applyAlignment="1" applyProtection="1">
      <alignment vertical="center" wrapText="1"/>
      <protection locked="0"/>
    </xf>
    <xf numFmtId="4" fontId="33" fillId="0" borderId="0" xfId="15" applyNumberFormat="1" applyFont="1" applyBorder="1" applyAlignment="1" applyProtection="1">
      <alignment vertical="center" wrapText="1"/>
      <protection locked="0"/>
    </xf>
    <xf numFmtId="0" fontId="74" fillId="0" borderId="0" xfId="12" applyFont="1" applyAlignment="1">
      <alignment vertical="center"/>
    </xf>
    <xf numFmtId="0" fontId="40" fillId="0" borderId="0" xfId="15" applyFont="1" applyFill="1" applyBorder="1" applyAlignment="1" applyProtection="1">
      <alignment vertical="center" wrapText="1"/>
      <protection locked="0"/>
    </xf>
    <xf numFmtId="0" fontId="34" fillId="0" borderId="0" xfId="13" applyFont="1" applyFill="1" applyBorder="1" applyAlignment="1" applyProtection="1">
      <alignment vertical="center"/>
      <protection locked="0"/>
    </xf>
    <xf numFmtId="0" fontId="34" fillId="0" borderId="0" xfId="15" applyFont="1" applyAlignment="1">
      <alignment vertical="center"/>
    </xf>
    <xf numFmtId="0" fontId="40" fillId="0" borderId="0" xfId="5" applyFont="1" applyFill="1" applyAlignment="1">
      <alignment vertical="center" wrapText="1"/>
    </xf>
    <xf numFmtId="2" fontId="34" fillId="0" borderId="0" xfId="15" applyNumberFormat="1" applyFont="1" applyFill="1" applyBorder="1" applyAlignment="1" applyProtection="1">
      <alignment horizontal="left" vertical="center"/>
      <protection locked="0"/>
    </xf>
    <xf numFmtId="4" fontId="40" fillId="0" borderId="0" xfId="5" applyNumberFormat="1" applyFont="1" applyFill="1" applyAlignment="1">
      <alignment vertical="center" wrapText="1"/>
    </xf>
    <xf numFmtId="0" fontId="33" fillId="0" borderId="0" xfId="13" applyFont="1" applyBorder="1" applyAlignment="1" applyProtection="1">
      <alignment horizontal="center" vertical="center"/>
      <protection locked="0"/>
    </xf>
    <xf numFmtId="2" fontId="33" fillId="0" borderId="0" xfId="13" applyNumberFormat="1" applyFont="1" applyBorder="1" applyAlignment="1" applyProtection="1">
      <alignment vertical="center"/>
      <protection locked="0"/>
    </xf>
    <xf numFmtId="0" fontId="33" fillId="0" borderId="0" xfId="5" applyFont="1" applyBorder="1" applyAlignment="1" applyProtection="1">
      <alignment horizontal="left" vertical="center"/>
      <protection locked="0"/>
    </xf>
    <xf numFmtId="2" fontId="33" fillId="0" borderId="0" xfId="5" applyNumberFormat="1" applyFont="1" applyBorder="1" applyAlignment="1" applyProtection="1">
      <alignment horizontal="center" vertical="center"/>
      <protection locked="0"/>
    </xf>
    <xf numFmtId="2" fontId="33" fillId="0" borderId="0" xfId="15" applyNumberFormat="1" applyFont="1" applyFill="1" applyBorder="1" applyAlignment="1" applyProtection="1">
      <alignment horizontal="center" vertical="center"/>
      <protection locked="0"/>
    </xf>
    <xf numFmtId="4" fontId="33" fillId="0" borderId="0" xfId="15" applyNumberFormat="1" applyFont="1" applyFill="1" applyBorder="1" applyAlignment="1" applyProtection="1">
      <alignment horizontal="right" vertical="center"/>
      <protection locked="0"/>
    </xf>
    <xf numFmtId="4" fontId="33" fillId="0" borderId="3" xfId="16" applyNumberFormat="1" applyFont="1" applyBorder="1" applyAlignment="1" applyProtection="1">
      <alignment vertical="center"/>
      <protection locked="0"/>
    </xf>
    <xf numFmtId="4" fontId="34" fillId="0" borderId="3" xfId="5" applyNumberFormat="1" applyFont="1" applyBorder="1" applyAlignment="1">
      <alignment vertical="center"/>
    </xf>
    <xf numFmtId="4" fontId="34" fillId="0" borderId="3" xfId="16" applyNumberFormat="1" applyFont="1" applyBorder="1" applyAlignment="1" applyProtection="1">
      <alignment vertical="center"/>
      <protection locked="0"/>
    </xf>
    <xf numFmtId="4" fontId="34" fillId="0" borderId="3" xfId="16" applyNumberFormat="1" applyFont="1" applyFill="1" applyBorder="1" applyAlignment="1">
      <alignment vertical="center" wrapText="1"/>
    </xf>
    <xf numFmtId="2" fontId="74" fillId="0" borderId="66" xfId="26" applyNumberFormat="1" applyFont="1" applyFill="1" applyBorder="1" applyAlignment="1">
      <alignment vertical="center"/>
    </xf>
    <xf numFmtId="0" fontId="77" fillId="0" borderId="22" xfId="26" applyFont="1" applyFill="1" applyBorder="1" applyAlignment="1">
      <alignment vertical="center"/>
    </xf>
    <xf numFmtId="166" fontId="74" fillId="0" borderId="22" xfId="26" applyNumberFormat="1" applyFont="1" applyFill="1" applyBorder="1" applyAlignment="1">
      <alignment vertical="center"/>
    </xf>
    <xf numFmtId="166" fontId="74" fillId="0" borderId="22" xfId="26" applyNumberFormat="1" applyFont="1" applyFill="1" applyBorder="1"/>
    <xf numFmtId="166" fontId="77" fillId="0" borderId="22" xfId="26" applyNumberFormat="1" applyFont="1" applyFill="1" applyBorder="1" applyAlignment="1">
      <alignment vertical="center"/>
    </xf>
    <xf numFmtId="168" fontId="34" fillId="0" borderId="17" xfId="0" applyNumberFormat="1" applyFont="1" applyFill="1" applyBorder="1" applyAlignment="1">
      <alignment horizontal="center" vertical="center"/>
    </xf>
    <xf numFmtId="4" fontId="38" fillId="0" borderId="26" xfId="0" applyNumberFormat="1" applyFont="1" applyFill="1" applyBorder="1" applyAlignment="1" applyProtection="1">
      <alignment vertical="center" wrapText="1"/>
      <protection locked="0"/>
    </xf>
    <xf numFmtId="4" fontId="33" fillId="0" borderId="36" xfId="0" applyNumberFormat="1" applyFont="1" applyFill="1" applyBorder="1" applyAlignment="1" applyProtection="1">
      <alignment vertical="center"/>
      <protection locked="0"/>
    </xf>
    <xf numFmtId="4" fontId="33" fillId="0" borderId="41" xfId="0" applyNumberFormat="1" applyFont="1" applyFill="1" applyBorder="1" applyAlignment="1" applyProtection="1">
      <alignment vertical="center"/>
      <protection locked="0"/>
    </xf>
    <xf numFmtId="4" fontId="38" fillId="0" borderId="55" xfId="0" applyNumberFormat="1" applyFont="1" applyFill="1" applyBorder="1" applyAlignment="1" applyProtection="1">
      <alignment vertical="center" wrapText="1"/>
      <protection locked="0"/>
    </xf>
    <xf numFmtId="4" fontId="33" fillId="0" borderId="22" xfId="0" applyNumberFormat="1" applyFont="1" applyFill="1" applyBorder="1" applyAlignment="1" applyProtection="1">
      <alignment vertical="center"/>
      <protection locked="0"/>
    </xf>
    <xf numFmtId="4" fontId="33" fillId="0" borderId="24" xfId="0" applyNumberFormat="1" applyFont="1" applyFill="1" applyBorder="1" applyAlignment="1" applyProtection="1">
      <alignment vertical="center"/>
      <protection locked="0"/>
    </xf>
    <xf numFmtId="4" fontId="38" fillId="0" borderId="55" xfId="0" applyNumberFormat="1" applyFont="1" applyFill="1" applyBorder="1" applyAlignment="1" applyProtection="1">
      <alignment vertical="top" wrapText="1"/>
      <protection locked="0"/>
    </xf>
    <xf numFmtId="4" fontId="10" fillId="0" borderId="55" xfId="15" applyNumberFormat="1" applyFont="1" applyBorder="1" applyAlignment="1" applyProtection="1">
      <alignment vertical="center" wrapText="1"/>
      <protection locked="0"/>
    </xf>
    <xf numFmtId="4" fontId="10" fillId="0" borderId="12" xfId="15" applyNumberFormat="1" applyFont="1" applyFill="1" applyBorder="1" applyAlignment="1">
      <alignment vertical="center"/>
    </xf>
    <xf numFmtId="4" fontId="10" fillId="0" borderId="33" xfId="15" applyNumberFormat="1" applyFont="1" applyFill="1" applyBorder="1" applyAlignment="1">
      <alignment vertical="center"/>
    </xf>
    <xf numFmtId="4" fontId="10" fillId="0" borderId="35" xfId="15" applyNumberFormat="1" applyFont="1" applyFill="1" applyBorder="1" applyAlignment="1">
      <alignment vertical="center"/>
    </xf>
    <xf numFmtId="4" fontId="34" fillId="0" borderId="4" xfId="15" applyNumberFormat="1" applyFont="1" applyBorder="1" applyAlignment="1" applyProtection="1">
      <alignment horizontal="center" vertical="center"/>
      <protection locked="0"/>
    </xf>
    <xf numFmtId="4" fontId="33" fillId="0" borderId="4" xfId="15" quotePrefix="1" applyNumberFormat="1" applyFont="1" applyBorder="1" applyAlignment="1" applyProtection="1">
      <alignment horizontal="right" vertical="center" wrapText="1"/>
      <protection locked="0"/>
    </xf>
    <xf numFmtId="4" fontId="10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4" xfId="15" quotePrefix="1" applyFont="1" applyBorder="1" applyAlignment="1" applyProtection="1">
      <alignment horizontal="left" vertical="center" wrapText="1"/>
      <protection locked="0"/>
    </xf>
    <xf numFmtId="2" fontId="10" fillId="0" borderId="43" xfId="15" quotePrefix="1" applyNumberFormat="1" applyFont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Border="1" applyAlignment="1" applyProtection="1">
      <alignment horizontal="right" vertical="center"/>
    </xf>
    <xf numFmtId="0" fontId="19" fillId="0" borderId="0" xfId="15" applyFont="1" applyBorder="1" applyAlignment="1" applyProtection="1">
      <alignment horizontal="center" vertical="center"/>
      <protection locked="0"/>
    </xf>
    <xf numFmtId="0" fontId="19" fillId="0" borderId="0" xfId="15" applyFont="1" applyBorder="1" applyAlignment="1" applyProtection="1">
      <alignment horizontal="left" vertical="center" wrapText="1"/>
      <protection locked="0"/>
    </xf>
    <xf numFmtId="0" fontId="19" fillId="0" borderId="0" xfId="15" quotePrefix="1" applyFont="1" applyBorder="1" applyAlignment="1" applyProtection="1">
      <alignment horizontal="left" vertical="center" wrapText="1"/>
      <protection locked="0"/>
    </xf>
    <xf numFmtId="172" fontId="19" fillId="0" borderId="0" xfId="15" applyNumberFormat="1" applyFont="1" applyBorder="1" applyAlignment="1" applyProtection="1">
      <alignment vertical="center" wrapText="1"/>
      <protection hidden="1"/>
    </xf>
    <xf numFmtId="172" fontId="19" fillId="0" borderId="0" xfId="15" applyNumberFormat="1" applyFont="1" applyBorder="1" applyAlignment="1" applyProtection="1">
      <alignment horizontal="right" vertical="center"/>
    </xf>
    <xf numFmtId="0" fontId="10" fillId="0" borderId="4" xfId="15" applyFont="1" applyFill="1" applyBorder="1" applyAlignment="1">
      <alignment horizontal="left" vertical="center" wrapText="1"/>
    </xf>
    <xf numFmtId="4" fontId="33" fillId="0" borderId="4" xfId="15" applyNumberFormat="1" applyFont="1" applyBorder="1" applyAlignment="1" applyProtection="1">
      <alignment horizontal="left" vertical="center" wrapText="1"/>
      <protection locked="0"/>
    </xf>
    <xf numFmtId="4" fontId="33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43" xfId="15" quotePrefix="1" applyFont="1" applyBorder="1" applyAlignment="1" applyProtection="1">
      <alignment horizontal="center" vertical="center" wrapText="1"/>
      <protection locked="0"/>
    </xf>
    <xf numFmtId="172" fontId="33" fillId="0" borderId="36" xfId="15" applyNumberFormat="1" applyFont="1" applyBorder="1" applyAlignment="1" applyProtection="1">
      <alignment horizontal="right" vertical="center"/>
    </xf>
    <xf numFmtId="0" fontId="19" fillId="0" borderId="17" xfId="15" applyFont="1" applyBorder="1" applyAlignment="1" applyProtection="1">
      <alignment horizontal="right" vertical="center" wrapText="1"/>
      <protection locked="0"/>
    </xf>
    <xf numFmtId="4" fontId="33" fillId="0" borderId="17" xfId="15" applyNumberFormat="1" applyFont="1" applyBorder="1" applyAlignment="1" applyProtection="1">
      <alignment horizontal="left" vertical="center"/>
      <protection locked="0"/>
    </xf>
    <xf numFmtId="4" fontId="33" fillId="0" borderId="17" xfId="15" quotePrefix="1" applyNumberFormat="1" applyFont="1" applyBorder="1" applyAlignment="1" applyProtection="1">
      <alignment horizontal="left" vertical="center" wrapText="1"/>
      <protection locked="0"/>
    </xf>
    <xf numFmtId="4" fontId="10" fillId="0" borderId="17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17" xfId="15" quotePrefix="1" applyFont="1" applyBorder="1" applyAlignment="1" applyProtection="1">
      <alignment horizontal="left" vertical="center" wrapText="1"/>
      <protection locked="0"/>
    </xf>
    <xf numFmtId="0" fontId="10" fillId="0" borderId="40" xfId="15" quotePrefix="1" applyFont="1" applyBorder="1" applyAlignment="1" applyProtection="1">
      <alignment horizontal="center" vertical="center" wrapText="1"/>
      <protection locked="0"/>
    </xf>
    <xf numFmtId="172" fontId="33" fillId="0" borderId="41" xfId="15" applyNumberFormat="1" applyFont="1" applyBorder="1" applyAlignment="1" applyProtection="1">
      <alignment horizontal="right" vertical="center"/>
    </xf>
    <xf numFmtId="168" fontId="33" fillId="0" borderId="5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 applyProtection="1">
      <alignment vertical="center"/>
      <protection locked="0"/>
    </xf>
    <xf numFmtId="2" fontId="33" fillId="0" borderId="8" xfId="0" applyNumberFormat="1" applyFont="1" applyFill="1" applyBorder="1" applyAlignment="1" applyProtection="1">
      <alignment horizontal="center" vertical="center"/>
      <protection locked="0"/>
    </xf>
    <xf numFmtId="4" fontId="33" fillId="0" borderId="9" xfId="0" applyNumberFormat="1" applyFont="1" applyFill="1" applyBorder="1" applyAlignment="1" applyProtection="1">
      <alignment vertical="center"/>
      <protection locked="0"/>
    </xf>
    <xf numFmtId="0" fontId="98" fillId="0" borderId="0" xfId="3" quotePrefix="1" applyFont="1" applyBorder="1" applyAlignment="1">
      <alignment horizontal="right" vertical="center" wrapText="1"/>
    </xf>
    <xf numFmtId="4" fontId="98" fillId="0" borderId="0" xfId="4" applyNumberFormat="1" applyFont="1" applyBorder="1" applyAlignment="1">
      <alignment horizontal="right" vertical="center" wrapText="1"/>
    </xf>
    <xf numFmtId="0" fontId="98" fillId="0" borderId="0" xfId="0" applyFont="1" applyBorder="1" applyAlignment="1">
      <alignment vertical="center" wrapText="1"/>
    </xf>
    <xf numFmtId="4" fontId="98" fillId="0" borderId="0" xfId="0" applyNumberFormat="1" applyFont="1" applyBorder="1" applyAlignment="1">
      <alignment vertical="center" wrapText="1"/>
    </xf>
    <xf numFmtId="0" fontId="98" fillId="0" borderId="0" xfId="0" applyFont="1" applyAlignment="1">
      <alignment vertical="center" wrapText="1"/>
    </xf>
    <xf numFmtId="0" fontId="33" fillId="0" borderId="6" xfId="15" applyFont="1" applyFill="1" applyBorder="1" applyAlignment="1">
      <alignment vertical="center" wrapText="1"/>
    </xf>
    <xf numFmtId="0" fontId="33" fillId="0" borderId="38" xfId="15" applyFont="1" applyFill="1" applyBorder="1" applyAlignment="1">
      <alignment horizontal="center" vertical="center" wrapText="1"/>
    </xf>
    <xf numFmtId="0" fontId="33" fillId="0" borderId="4" xfId="15" applyFont="1" applyFill="1" applyBorder="1" applyAlignment="1">
      <alignment vertical="top" wrapText="1"/>
    </xf>
    <xf numFmtId="0" fontId="33" fillId="0" borderId="50" xfId="15" applyFont="1" applyBorder="1" applyAlignment="1">
      <alignment horizontal="left" vertical="center" wrapText="1"/>
    </xf>
    <xf numFmtId="4" fontId="33" fillId="0" borderId="4" xfId="15" applyNumberFormat="1" applyFont="1" applyFill="1" applyBorder="1" applyAlignment="1">
      <alignment horizontal="center" vertical="center" wrapText="1"/>
    </xf>
    <xf numFmtId="0" fontId="33" fillId="0" borderId="4" xfId="15" applyFont="1" applyFill="1" applyBorder="1" applyAlignment="1">
      <alignment horizontal="left" vertical="center" wrapText="1"/>
    </xf>
    <xf numFmtId="1" fontId="33" fillId="0" borderId="4" xfId="15" applyNumberFormat="1" applyFont="1" applyFill="1" applyBorder="1" applyAlignment="1">
      <alignment horizontal="center" vertical="center" wrapText="1"/>
    </xf>
    <xf numFmtId="0" fontId="33" fillId="0" borderId="16" xfId="15" applyFont="1" applyFill="1" applyBorder="1" applyAlignment="1">
      <alignment horizontal="left" vertical="center" wrapText="1"/>
    </xf>
    <xf numFmtId="0" fontId="33" fillId="0" borderId="6" xfId="15" applyFont="1" applyFill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39" xfId="15" applyFont="1" applyBorder="1" applyAlignment="1">
      <alignment horizontal="left" vertical="center" wrapText="1"/>
    </xf>
    <xf numFmtId="4" fontId="33" fillId="0" borderId="39" xfId="15" applyNumberFormat="1" applyFont="1" applyFill="1" applyBorder="1" applyAlignment="1">
      <alignment horizontal="center" vertical="center" wrapText="1"/>
    </xf>
    <xf numFmtId="0" fontId="33" fillId="0" borderId="39" xfId="15" applyFont="1" applyFill="1" applyBorder="1" applyAlignment="1">
      <alignment horizontal="left" vertical="center" wrapText="1"/>
    </xf>
    <xf numFmtId="1" fontId="33" fillId="0" borderId="39" xfId="15" applyNumberFormat="1" applyFont="1" applyFill="1" applyBorder="1" applyAlignment="1">
      <alignment horizontal="center" vertical="center" wrapText="1"/>
    </xf>
    <xf numFmtId="0" fontId="33" fillId="0" borderId="2" xfId="15" applyFont="1" applyBorder="1" applyAlignment="1">
      <alignment horizontal="center" vertical="center" wrapText="1"/>
    </xf>
    <xf numFmtId="0" fontId="34" fillId="0" borderId="1" xfId="15" applyFont="1" applyFill="1" applyBorder="1" applyAlignment="1">
      <alignment vertical="top"/>
    </xf>
    <xf numFmtId="0" fontId="33" fillId="0" borderId="57" xfId="15" applyFont="1" applyBorder="1" applyAlignment="1">
      <alignment horizontal="center" vertical="center" wrapText="1"/>
    </xf>
    <xf numFmtId="0" fontId="33" fillId="0" borderId="7" xfId="15" applyFont="1" applyFill="1" applyBorder="1" applyAlignment="1">
      <alignment vertical="center" wrapText="1"/>
    </xf>
    <xf numFmtId="4" fontId="33" fillId="0" borderId="7" xfId="15" applyNumberFormat="1" applyFont="1" applyBorder="1" applyAlignment="1">
      <alignment horizontal="center" vertical="center" wrapText="1"/>
    </xf>
    <xf numFmtId="0" fontId="33" fillId="0" borderId="6" xfId="15" applyFont="1" applyBorder="1" applyAlignment="1">
      <alignment horizontal="left" vertical="center" wrapText="1"/>
    </xf>
    <xf numFmtId="4" fontId="33" fillId="0" borderId="39" xfId="15" applyNumberFormat="1" applyFont="1" applyBorder="1" applyAlignment="1">
      <alignment horizontal="center" vertical="center" wrapText="1"/>
    </xf>
    <xf numFmtId="0" fontId="33" fillId="0" borderId="39" xfId="15" applyFont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right" vertical="center" wrapText="1"/>
    </xf>
    <xf numFmtId="9" fontId="33" fillId="0" borderId="3" xfId="15" applyNumberFormat="1" applyFont="1" applyFill="1" applyBorder="1" applyAlignment="1">
      <alignment horizontal="center" vertical="center" wrapText="1"/>
    </xf>
    <xf numFmtId="3" fontId="33" fillId="0" borderId="3" xfId="15" applyNumberFormat="1" applyFont="1" applyFill="1" applyBorder="1" applyAlignment="1">
      <alignment horizontal="center" vertical="center" wrapText="1"/>
    </xf>
    <xf numFmtId="0" fontId="49" fillId="0" borderId="0" xfId="0" applyFont="1" applyFill="1"/>
    <xf numFmtId="4" fontId="34" fillId="0" borderId="1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3" xfId="15" applyFont="1" applyFill="1" applyBorder="1" applyAlignment="1" applyProtection="1">
      <alignment horizontal="left" vertical="center"/>
      <protection locked="0"/>
    </xf>
    <xf numFmtId="0" fontId="34" fillId="0" borderId="1" xfId="15" applyFont="1" applyFill="1" applyBorder="1" applyAlignment="1">
      <alignment vertical="center"/>
    </xf>
    <xf numFmtId="0" fontId="33" fillId="0" borderId="57" xfId="15" applyFont="1" applyFill="1" applyBorder="1" applyAlignment="1">
      <alignment horizontal="center" vertical="center" wrapText="1"/>
    </xf>
    <xf numFmtId="9" fontId="33" fillId="0" borderId="39" xfId="15" applyNumberFormat="1" applyFont="1" applyFill="1" applyBorder="1" applyAlignment="1">
      <alignment horizontal="center" vertical="center" wrapText="1"/>
    </xf>
    <xf numFmtId="0" fontId="33" fillId="0" borderId="39" xfId="15" applyFont="1" applyFill="1" applyBorder="1" applyAlignment="1">
      <alignment horizontal="center" vertical="center" wrapText="1"/>
    </xf>
    <xf numFmtId="3" fontId="33" fillId="0" borderId="2" xfId="15" applyNumberFormat="1" applyFont="1" applyFill="1" applyBorder="1" applyAlignment="1">
      <alignment horizontal="center" vertical="center" wrapText="1"/>
    </xf>
    <xf numFmtId="0" fontId="19" fillId="0" borderId="20" xfId="15" applyFont="1" applyFill="1" applyBorder="1" applyAlignment="1">
      <alignment horizontal="right" vertical="center" wrapText="1"/>
    </xf>
    <xf numFmtId="16" fontId="19" fillId="0" borderId="20" xfId="15" applyNumberFormat="1" applyFont="1" applyFill="1" applyBorder="1" applyAlignment="1">
      <alignment horizontal="right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14" xfId="15" applyFont="1" applyBorder="1" applyAlignment="1">
      <alignment horizontal="center" vertical="center" wrapText="1"/>
    </xf>
    <xf numFmtId="4" fontId="33" fillId="0" borderId="79" xfId="15" applyNumberFormat="1" applyFont="1" applyFill="1" applyBorder="1" applyAlignment="1">
      <alignment horizontal="right" vertical="center" wrapText="1"/>
    </xf>
    <xf numFmtId="0" fontId="0" fillId="0" borderId="0" xfId="0" applyFont="1"/>
    <xf numFmtId="4" fontId="33" fillId="0" borderId="51" xfId="15" applyNumberFormat="1" applyFont="1" applyFill="1" applyBorder="1" applyAlignment="1">
      <alignment horizontal="right" vertical="center" wrapText="1"/>
    </xf>
    <xf numFmtId="4" fontId="33" fillId="0" borderId="29" xfId="15" applyNumberFormat="1" applyFont="1" applyFill="1" applyBorder="1" applyAlignment="1">
      <alignment horizontal="right" vertical="center" wrapText="1"/>
    </xf>
    <xf numFmtId="0" fontId="49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33" fillId="0" borderId="6" xfId="15" applyFont="1" applyFill="1" applyBorder="1" applyAlignment="1">
      <alignment horizontal="left" vertical="center" wrapText="1"/>
    </xf>
    <xf numFmtId="0" fontId="33" fillId="0" borderId="76" xfId="15" applyFont="1" applyFill="1" applyBorder="1" applyAlignment="1">
      <alignment horizontal="center" vertical="center" wrapText="1"/>
    </xf>
    <xf numFmtId="0" fontId="34" fillId="0" borderId="49" xfId="15" applyFont="1" applyFill="1" applyBorder="1" applyAlignment="1">
      <alignment vertical="center"/>
    </xf>
    <xf numFmtId="9" fontId="33" fillId="0" borderId="51" xfId="15" applyNumberFormat="1" applyFont="1" applyFill="1" applyBorder="1" applyAlignment="1">
      <alignment horizontal="center" vertical="center" wrapText="1"/>
    </xf>
    <xf numFmtId="4" fontId="33" fillId="0" borderId="51" xfId="15" applyNumberFormat="1" applyFont="1" applyFill="1" applyBorder="1" applyAlignment="1">
      <alignment horizontal="center" vertical="center" wrapText="1"/>
    </xf>
    <xf numFmtId="0" fontId="33" fillId="0" borderId="51" xfId="15" applyFont="1" applyFill="1" applyBorder="1" applyAlignment="1">
      <alignment horizontal="left" vertical="center" wrapText="1"/>
    </xf>
    <xf numFmtId="0" fontId="33" fillId="0" borderId="51" xfId="15" applyFont="1" applyFill="1" applyBorder="1" applyAlignment="1">
      <alignment horizontal="center" vertical="center" wrapText="1"/>
    </xf>
    <xf numFmtId="3" fontId="33" fillId="0" borderId="50" xfId="15" applyNumberFormat="1" applyFont="1" applyFill="1" applyBorder="1" applyAlignment="1">
      <alignment horizontal="center" vertical="center" wrapText="1"/>
    </xf>
    <xf numFmtId="0" fontId="99" fillId="0" borderId="0" xfId="0" applyFont="1" applyFill="1"/>
    <xf numFmtId="0" fontId="99" fillId="0" borderId="0" xfId="0" applyFont="1" applyFill="1" applyAlignment="1">
      <alignment vertical="center"/>
    </xf>
    <xf numFmtId="4" fontId="34" fillId="0" borderId="3" xfId="15" applyNumberFormat="1" applyFont="1" applyBorder="1" applyAlignment="1" applyProtection="1">
      <alignment vertical="center"/>
      <protection locked="0"/>
    </xf>
    <xf numFmtId="166" fontId="34" fillId="0" borderId="3" xfId="15" applyNumberFormat="1" applyFont="1" applyFill="1" applyBorder="1" applyAlignment="1" applyProtection="1">
      <alignment horizontal="center" vertical="center"/>
      <protection locked="0"/>
    </xf>
    <xf numFmtId="0" fontId="34" fillId="0" borderId="3" xfId="15" applyFont="1" applyBorder="1" applyAlignment="1" applyProtection="1">
      <alignment horizontal="center" vertical="center" wrapText="1"/>
      <protection locked="0"/>
    </xf>
    <xf numFmtId="4" fontId="34" fillId="0" borderId="3" xfId="15" applyNumberFormat="1" applyFont="1" applyBorder="1" applyAlignment="1" applyProtection="1">
      <alignment vertical="center"/>
    </xf>
    <xf numFmtId="0" fontId="34" fillId="0" borderId="21" xfId="15" applyFont="1" applyBorder="1" applyAlignment="1">
      <alignment horizontal="center" vertical="center" wrapText="1"/>
    </xf>
    <xf numFmtId="0" fontId="34" fillId="0" borderId="37" xfId="15" applyFont="1" applyBorder="1" applyAlignment="1">
      <alignment horizontal="left" vertical="center" wrapText="1"/>
    </xf>
    <xf numFmtId="4" fontId="34" fillId="0" borderId="37" xfId="15" applyNumberFormat="1" applyFont="1" applyBorder="1" applyAlignment="1">
      <alignment horizontal="center" vertical="center" wrapText="1" shrinkToFit="1"/>
    </xf>
    <xf numFmtId="0" fontId="34" fillId="0" borderId="37" xfId="15" applyFont="1" applyBorder="1" applyAlignment="1">
      <alignment horizontal="center" vertical="center" wrapText="1" shrinkToFit="1"/>
    </xf>
    <xf numFmtId="0" fontId="100" fillId="0" borderId="0" xfId="0" applyFont="1"/>
    <xf numFmtId="2" fontId="72" fillId="0" borderId="0" xfId="0" applyNumberFormat="1" applyFont="1" applyFill="1" applyBorder="1" applyAlignment="1" applyProtection="1">
      <alignment vertical="center" wrapText="1"/>
      <protection locked="0"/>
    </xf>
    <xf numFmtId="0" fontId="72" fillId="0" borderId="0" xfId="0" applyFont="1" applyFill="1" applyBorder="1" applyAlignment="1">
      <alignment vertical="center" wrapText="1"/>
    </xf>
    <xf numFmtId="0" fontId="72" fillId="0" borderId="0" xfId="0" applyFont="1" applyFill="1" applyBorder="1" applyAlignment="1" applyProtection="1">
      <alignment vertical="center" wrapText="1"/>
      <protection locked="0"/>
    </xf>
    <xf numFmtId="0" fontId="33" fillId="0" borderId="3" xfId="15" applyFont="1" applyBorder="1" applyAlignment="1">
      <alignment vertical="center" wrapText="1"/>
    </xf>
    <xf numFmtId="0" fontId="50" fillId="0" borderId="0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33" fillId="0" borderId="7" xfId="15" applyFont="1" applyFill="1" applyBorder="1" applyAlignment="1">
      <alignment horizontal="left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102" fillId="0" borderId="3" xfId="5" applyFont="1" applyBorder="1" applyAlignment="1">
      <alignment horizontal="center" vertical="center" wrapText="1"/>
    </xf>
    <xf numFmtId="0" fontId="72" fillId="0" borderId="0" xfId="5" applyFont="1" applyAlignment="1">
      <alignment vertical="center"/>
    </xf>
    <xf numFmtId="2" fontId="72" fillId="0" borderId="0" xfId="5" applyNumberFormat="1" applyFont="1" applyBorder="1" applyAlignment="1" applyProtection="1">
      <alignment horizontal="left" vertical="center"/>
      <protection locked="0"/>
    </xf>
    <xf numFmtId="0" fontId="103" fillId="0" borderId="0" xfId="5" applyFont="1" applyAlignment="1">
      <alignment vertical="center" wrapText="1"/>
    </xf>
    <xf numFmtId="0" fontId="72" fillId="0" borderId="0" xfId="5" applyFont="1" applyAlignment="1">
      <alignment horizontal="left" vertical="center"/>
    </xf>
    <xf numFmtId="0" fontId="72" fillId="0" borderId="0" xfId="5" applyFont="1" applyAlignment="1">
      <alignment horizontal="right" vertical="center"/>
    </xf>
    <xf numFmtId="0" fontId="33" fillId="5" borderId="6" xfId="15" applyFont="1" applyFill="1" applyBorder="1" applyAlignment="1">
      <alignment vertical="center" wrapText="1"/>
    </xf>
    <xf numFmtId="0" fontId="33" fillId="5" borderId="6" xfId="15" applyFont="1" applyFill="1" applyBorder="1" applyAlignment="1">
      <alignment horizontal="center" vertical="center" wrapText="1"/>
    </xf>
    <xf numFmtId="4" fontId="33" fillId="5" borderId="6" xfId="15" applyNumberFormat="1" applyFont="1" applyFill="1" applyBorder="1" applyAlignment="1">
      <alignment horizontal="center" vertical="center" wrapText="1"/>
    </xf>
    <xf numFmtId="0" fontId="33" fillId="5" borderId="6" xfId="15" applyFont="1" applyFill="1" applyBorder="1" applyAlignment="1">
      <alignment horizontal="left" vertical="center" wrapText="1"/>
    </xf>
    <xf numFmtId="4" fontId="33" fillId="5" borderId="66" xfId="15" applyNumberFormat="1" applyFont="1" applyFill="1" applyBorder="1" applyAlignment="1">
      <alignment horizontal="right" vertical="center" wrapText="1"/>
    </xf>
    <xf numFmtId="0" fontId="32" fillId="0" borderId="0" xfId="0" applyFont="1"/>
    <xf numFmtId="0" fontId="54" fillId="0" borderId="0" xfId="0" applyFont="1" applyBorder="1"/>
    <xf numFmtId="0" fontId="19" fillId="0" borderId="3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34" fillId="0" borderId="0" xfId="0" applyFont="1" applyBorder="1" applyAlignment="1">
      <alignment vertical="center"/>
    </xf>
    <xf numFmtId="0" fontId="20" fillId="0" borderId="3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9" fontId="33" fillId="0" borderId="7" xfId="15" applyNumberFormat="1" applyFont="1" applyFill="1" applyBorder="1" applyAlignment="1">
      <alignment horizontal="center" vertical="center" wrapText="1"/>
    </xf>
    <xf numFmtId="4" fontId="33" fillId="0" borderId="7" xfId="15" applyNumberFormat="1" applyFont="1" applyFill="1" applyBorder="1" applyAlignment="1">
      <alignment horizontal="center" vertical="center" wrapText="1"/>
    </xf>
    <xf numFmtId="0" fontId="33" fillId="0" borderId="7" xfId="15" applyFont="1" applyFill="1" applyBorder="1" applyAlignment="1">
      <alignment horizontal="center" vertical="center" wrapText="1"/>
    </xf>
    <xf numFmtId="3" fontId="33" fillId="0" borderId="7" xfId="15" applyNumberFormat="1" applyFont="1" applyFill="1" applyBorder="1" applyAlignment="1">
      <alignment horizontal="center" vertical="center" wrapText="1"/>
    </xf>
    <xf numFmtId="0" fontId="64" fillId="0" borderId="4" xfId="0" applyFont="1" applyFill="1" applyBorder="1" applyAlignment="1" applyProtection="1">
      <alignment horizontal="left" vertical="center" wrapText="1"/>
      <protection locked="0"/>
    </xf>
    <xf numFmtId="2" fontId="64" fillId="0" borderId="4" xfId="0" applyNumberFormat="1" applyFont="1" applyFill="1" applyBorder="1" applyAlignment="1" applyProtection="1">
      <alignment horizontal="center" vertical="center"/>
      <protection locked="0"/>
    </xf>
    <xf numFmtId="0" fontId="64" fillId="0" borderId="17" xfId="0" applyFont="1" applyFill="1" applyBorder="1" applyAlignment="1" applyProtection="1">
      <alignment horizontal="left" vertical="center" wrapText="1"/>
      <protection locked="0"/>
    </xf>
    <xf numFmtId="2" fontId="64" fillId="0" borderId="17" xfId="0" applyNumberFormat="1" applyFont="1" applyFill="1" applyBorder="1" applyAlignment="1" applyProtection="1">
      <alignment horizontal="center" vertical="center"/>
      <protection locked="0"/>
    </xf>
    <xf numFmtId="0" fontId="55" fillId="0" borderId="3" xfId="15" applyFont="1" applyBorder="1" applyAlignment="1">
      <alignment horizontal="center" vertical="center" wrapText="1"/>
    </xf>
    <xf numFmtId="0" fontId="55" fillId="0" borderId="7" xfId="15" applyFont="1" applyBorder="1" applyAlignment="1">
      <alignment horizontal="center" vertical="center" wrapText="1"/>
    </xf>
    <xf numFmtId="4" fontId="55" fillId="0" borderId="22" xfId="15" applyNumberFormat="1" applyFont="1" applyFill="1" applyBorder="1" applyAlignment="1">
      <alignment horizontal="right" vertical="center" wrapText="1"/>
    </xf>
    <xf numFmtId="4" fontId="55" fillId="0" borderId="3" xfId="15" applyNumberFormat="1" applyFont="1" applyFill="1" applyBorder="1" applyAlignment="1">
      <alignment horizontal="center" vertical="center" wrapText="1"/>
    </xf>
    <xf numFmtId="0" fontId="55" fillId="0" borderId="3" xfId="15" applyFont="1" applyFill="1" applyBorder="1" applyAlignment="1">
      <alignment horizontal="center" vertical="center" wrapText="1"/>
    </xf>
    <xf numFmtId="4" fontId="55" fillId="0" borderId="51" xfId="15" applyNumberFormat="1" applyFont="1" applyFill="1" applyBorder="1" applyAlignment="1">
      <alignment horizontal="right" vertical="center" wrapText="1"/>
    </xf>
    <xf numFmtId="4" fontId="55" fillId="0" borderId="79" xfId="15" applyNumberFormat="1" applyFont="1" applyFill="1" applyBorder="1" applyAlignment="1">
      <alignment horizontal="right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19" fillId="0" borderId="3" xfId="5" applyFont="1" applyBorder="1" applyAlignment="1">
      <alignment horizontal="center" vertical="center" wrapText="1"/>
    </xf>
    <xf numFmtId="0" fontId="33" fillId="0" borderId="49" xfId="0" applyFont="1" applyFill="1" applyBorder="1" applyAlignment="1">
      <alignment horizontal="center"/>
    </xf>
    <xf numFmtId="0" fontId="33" fillId="0" borderId="0" xfId="37" applyFont="1" applyAlignment="1">
      <alignment horizontal="left" vertical="center"/>
    </xf>
    <xf numFmtId="0" fontId="19" fillId="0" borderId="61" xfId="37" applyFont="1" applyBorder="1" applyAlignment="1">
      <alignment horizontal="center" vertical="center" wrapText="1"/>
    </xf>
    <xf numFmtId="0" fontId="59" fillId="0" borderId="23" xfId="37" applyFont="1" applyBorder="1" applyAlignment="1">
      <alignment horizontal="center" vertical="center" wrapText="1"/>
    </xf>
    <xf numFmtId="0" fontId="19" fillId="0" borderId="62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  <xf numFmtId="0" fontId="94" fillId="0" borderId="0" xfId="0" applyFont="1" applyFill="1"/>
    <xf numFmtId="0" fontId="19" fillId="0" borderId="0" xfId="0" applyFont="1" applyFill="1"/>
    <xf numFmtId="4" fontId="19" fillId="0" borderId="0" xfId="0" applyNumberFormat="1" applyFont="1" applyFill="1"/>
    <xf numFmtId="4" fontId="33" fillId="0" borderId="51" xfId="0" applyNumberFormat="1" applyFont="1" applyFill="1" applyBorder="1"/>
    <xf numFmtId="4" fontId="33" fillId="0" borderId="0" xfId="0" applyNumberFormat="1" applyFont="1" applyFill="1" applyBorder="1"/>
    <xf numFmtId="0" fontId="19" fillId="0" borderId="47" xfId="0" applyFont="1" applyFill="1" applyBorder="1"/>
    <xf numFmtId="0" fontId="19" fillId="0" borderId="0" xfId="0" applyFont="1" applyFill="1" applyBorder="1"/>
    <xf numFmtId="0" fontId="37" fillId="0" borderId="1" xfId="0" applyFont="1" applyFill="1" applyBorder="1"/>
    <xf numFmtId="170" fontId="36" fillId="0" borderId="47" xfId="0" applyNumberFormat="1" applyFont="1" applyFill="1" applyBorder="1"/>
    <xf numFmtId="0" fontId="36" fillId="0" borderId="47" xfId="0" applyFont="1" applyFill="1" applyBorder="1"/>
    <xf numFmtId="0" fontId="19" fillId="0" borderId="0" xfId="0" applyFont="1" applyFill="1" applyBorder="1" applyAlignment="1">
      <alignment horizontal="center"/>
    </xf>
    <xf numFmtId="167" fontId="33" fillId="0" borderId="47" xfId="0" applyNumberFormat="1" applyFont="1" applyFill="1" applyBorder="1"/>
    <xf numFmtId="0" fontId="104" fillId="0" borderId="43" xfId="0" applyFont="1" applyFill="1" applyBorder="1" applyAlignment="1">
      <alignment horizontal="center"/>
    </xf>
    <xf numFmtId="0" fontId="36" fillId="0" borderId="50" xfId="0" applyFont="1" applyFill="1" applyBorder="1" applyAlignment="1">
      <alignment horizontal="left"/>
    </xf>
    <xf numFmtId="0" fontId="99" fillId="0" borderId="0" xfId="37" applyFont="1" applyAlignment="1">
      <alignment vertical="center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55" fillId="0" borderId="3" xfId="0" applyFont="1" applyFill="1" applyBorder="1" applyAlignment="1">
      <alignment horizontal="center" vertical="center" wrapText="1" shrinkToFit="1"/>
    </xf>
    <xf numFmtId="167" fontId="55" fillId="0" borderId="3" xfId="0" applyNumberFormat="1" applyFont="1" applyFill="1" applyBorder="1" applyAlignment="1">
      <alignment horizontal="center" vertical="center" wrapText="1" shrinkToFit="1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4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5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left" vertical="center"/>
      <protection locked="0"/>
    </xf>
    <xf numFmtId="2" fontId="33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34" fillId="2" borderId="0" xfId="0" applyFont="1" applyFill="1" applyBorder="1" applyAlignment="1">
      <alignment horizontal="center" vertical="center" wrapText="1"/>
    </xf>
    <xf numFmtId="0" fontId="38" fillId="0" borderId="27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54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46" xfId="0" applyFont="1" applyFill="1" applyBorder="1" applyAlignment="1" applyProtection="1">
      <alignment horizontal="center" vertical="center" wrapText="1"/>
      <protection locked="0"/>
    </xf>
    <xf numFmtId="0" fontId="10" fillId="0" borderId="47" xfId="0" applyFont="1" applyFill="1" applyBorder="1" applyAlignment="1" applyProtection="1">
      <alignment horizontal="center" vertical="center" wrapText="1"/>
      <protection locked="0"/>
    </xf>
    <xf numFmtId="0" fontId="10" fillId="0" borderId="43" xfId="0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/>
      <protection locked="0"/>
    </xf>
    <xf numFmtId="2" fontId="33" fillId="0" borderId="29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13" applyFont="1" applyBorder="1" applyAlignment="1" applyProtection="1">
      <alignment vertical="center"/>
      <protection locked="0"/>
    </xf>
    <xf numFmtId="0" fontId="53" fillId="0" borderId="0" xfId="37" applyFont="1" applyFill="1" applyAlignment="1">
      <alignment vertical="center"/>
    </xf>
    <xf numFmtId="0" fontId="106" fillId="0" borderId="0" xfId="37" applyFont="1" applyAlignment="1">
      <alignment vertical="center"/>
    </xf>
    <xf numFmtId="0" fontId="107" fillId="0" borderId="24" xfId="37" applyFont="1" applyBorder="1" applyAlignment="1">
      <alignment horizontal="center" vertical="center" wrapText="1"/>
    </xf>
    <xf numFmtId="0" fontId="33" fillId="0" borderId="3" xfId="5" applyFont="1" applyFill="1" applyBorder="1" applyAlignment="1">
      <alignment horizontal="left" vertical="center" wrapText="1"/>
    </xf>
    <xf numFmtId="0" fontId="34" fillId="0" borderId="3" xfId="5" applyFont="1" applyFill="1" applyBorder="1" applyAlignment="1">
      <alignment vertical="center"/>
    </xf>
    <xf numFmtId="0" fontId="33" fillId="0" borderId="3" xfId="5" applyFont="1" applyFill="1" applyBorder="1" applyAlignment="1">
      <alignment vertical="center"/>
    </xf>
    <xf numFmtId="0" fontId="33" fillId="4" borderId="7" xfId="15" applyFont="1" applyFill="1" applyBorder="1" applyAlignment="1">
      <alignment horizontal="left" vertical="center" wrapText="1"/>
    </xf>
    <xf numFmtId="0" fontId="33" fillId="4" borderId="7" xfId="15" applyFont="1" applyFill="1" applyBorder="1" applyAlignment="1">
      <alignment horizontal="center" vertical="center" wrapText="1"/>
    </xf>
    <xf numFmtId="4" fontId="33" fillId="4" borderId="51" xfId="15" applyNumberFormat="1" applyFont="1" applyFill="1" applyBorder="1" applyAlignment="1">
      <alignment horizontal="right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49" fillId="4" borderId="0" xfId="0" applyFont="1" applyFill="1"/>
    <xf numFmtId="0" fontId="33" fillId="4" borderId="6" xfId="15" applyFont="1" applyFill="1" applyBorder="1" applyAlignment="1">
      <alignment horizontal="left" vertical="center" wrapText="1"/>
    </xf>
    <xf numFmtId="0" fontId="33" fillId="4" borderId="6" xfId="15" applyFont="1" applyFill="1" applyBorder="1" applyAlignment="1">
      <alignment horizontal="center" vertical="center" wrapText="1"/>
    </xf>
    <xf numFmtId="4" fontId="33" fillId="4" borderId="29" xfId="15" applyNumberFormat="1" applyFont="1" applyFill="1" applyBorder="1" applyAlignment="1">
      <alignment horizontal="right" vertical="center" wrapText="1"/>
    </xf>
    <xf numFmtId="0" fontId="49" fillId="4" borderId="3" xfId="0" applyFont="1" applyFill="1" applyBorder="1" applyAlignment="1">
      <alignment horizontal="center"/>
    </xf>
    <xf numFmtId="0" fontId="55" fillId="0" borderId="4" xfId="0" applyFont="1" applyBorder="1" applyAlignment="1" applyProtection="1">
      <alignment horizontal="left" vertical="center" wrapText="1"/>
      <protection locked="0"/>
    </xf>
    <xf numFmtId="167" fontId="55" fillId="0" borderId="4" xfId="0" applyNumberFormat="1" applyFont="1" applyBorder="1" applyAlignment="1" applyProtection="1">
      <alignment horizontal="center" vertical="center"/>
      <protection locked="0"/>
    </xf>
    <xf numFmtId="0" fontId="55" fillId="0" borderId="0" xfId="15" applyFont="1" applyFill="1" applyBorder="1" applyAlignment="1" applyProtection="1">
      <alignment vertical="top"/>
      <protection locked="0"/>
    </xf>
    <xf numFmtId="0" fontId="55" fillId="0" borderId="0" xfId="0" applyFont="1" applyAlignment="1">
      <alignment horizontal="center" vertical="center"/>
    </xf>
    <xf numFmtId="0" fontId="33" fillId="0" borderId="3" xfId="15" applyFont="1" applyBorder="1" applyAlignment="1" applyProtection="1">
      <alignment horizontal="left" vertical="center" wrapText="1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0" fontId="19" fillId="4" borderId="19" xfId="15" applyFont="1" applyFill="1" applyBorder="1" applyAlignment="1">
      <alignment horizontal="center" vertical="center"/>
    </xf>
    <xf numFmtId="0" fontId="10" fillId="4" borderId="18" xfId="15" applyFont="1" applyFill="1" applyBorder="1" applyAlignment="1" applyProtection="1">
      <alignment horizontal="center" vertical="center"/>
      <protection locked="0"/>
    </xf>
    <xf numFmtId="0" fontId="10" fillId="4" borderId="5" xfId="15" applyFont="1" applyFill="1" applyBorder="1" applyAlignment="1">
      <alignment vertical="center" wrapText="1"/>
    </xf>
    <xf numFmtId="0" fontId="10" fillId="4" borderId="27" xfId="15" applyFont="1" applyFill="1" applyBorder="1" applyAlignment="1" applyProtection="1">
      <alignment horizontal="center" vertical="center"/>
      <protection locked="0"/>
    </xf>
    <xf numFmtId="0" fontId="10" fillId="4" borderId="5" xfId="15" applyFont="1" applyFill="1" applyBorder="1" applyAlignment="1" applyProtection="1">
      <alignment horizontal="center" vertical="center" wrapText="1"/>
      <protection locked="0"/>
    </xf>
    <xf numFmtId="4" fontId="34" fillId="4" borderId="9" xfId="15" applyNumberFormat="1" applyFont="1" applyFill="1" applyBorder="1" applyAlignment="1" applyProtection="1">
      <alignment horizontal="right" vertical="center"/>
      <protection locked="0"/>
    </xf>
    <xf numFmtId="4" fontId="36" fillId="4" borderId="0" xfId="15" applyNumberFormat="1" applyFont="1" applyFill="1" applyBorder="1" applyAlignment="1" applyProtection="1">
      <alignment horizontal="center" vertical="center"/>
      <protection locked="0"/>
    </xf>
    <xf numFmtId="0" fontId="9" fillId="4" borderId="0" xfId="15" applyFill="1" applyAlignment="1">
      <alignment vertical="center"/>
    </xf>
    <xf numFmtId="0" fontId="19" fillId="4" borderId="0" xfId="15" applyFont="1" applyFill="1" applyBorder="1" applyAlignment="1" applyProtection="1">
      <alignment vertical="center"/>
      <protection locked="0"/>
    </xf>
    <xf numFmtId="0" fontId="33" fillId="4" borderId="48" xfId="0" applyFont="1" applyFill="1" applyBorder="1" applyAlignment="1" applyProtection="1">
      <alignment vertical="center"/>
      <protection locked="0"/>
    </xf>
    <xf numFmtId="0" fontId="38" fillId="4" borderId="46" xfId="0" applyFont="1" applyFill="1" applyBorder="1" applyAlignment="1" applyProtection="1">
      <alignment vertical="center"/>
      <protection locked="0"/>
    </xf>
    <xf numFmtId="0" fontId="38" fillId="4" borderId="54" xfId="0" applyFont="1" applyFill="1" applyBorder="1" applyAlignment="1" applyProtection="1">
      <alignment vertical="center" wrapText="1"/>
      <protection locked="0"/>
    </xf>
    <xf numFmtId="0" fontId="15" fillId="4" borderId="54" xfId="0" applyFont="1" applyFill="1" applyBorder="1" applyAlignment="1" applyProtection="1">
      <alignment horizontal="center" vertical="center" wrapText="1"/>
      <protection locked="0"/>
    </xf>
    <xf numFmtId="4" fontId="38" fillId="4" borderId="55" xfId="0" applyNumberFormat="1" applyFont="1" applyFill="1" applyBorder="1" applyAlignment="1" applyProtection="1">
      <alignment vertical="center" wrapText="1"/>
      <protection locked="0"/>
    </xf>
    <xf numFmtId="0" fontId="33" fillId="4" borderId="0" xfId="0" applyFont="1" applyFill="1" applyBorder="1" applyAlignment="1" applyProtection="1">
      <alignment vertical="center"/>
      <protection locked="0"/>
    </xf>
    <xf numFmtId="0" fontId="39" fillId="4" borderId="1" xfId="0" applyFont="1" applyFill="1" applyBorder="1" applyAlignment="1" applyProtection="1">
      <alignment horizontal="left" vertical="center" wrapText="1"/>
      <protection locked="0"/>
    </xf>
    <xf numFmtId="168" fontId="33" fillId="4" borderId="2" xfId="0" applyNumberFormat="1" applyFont="1" applyFill="1" applyBorder="1" applyAlignment="1">
      <alignment horizontal="center" vertical="center"/>
    </xf>
    <xf numFmtId="4" fontId="33" fillId="4" borderId="3" xfId="0" applyNumberFormat="1" applyFont="1" applyFill="1" applyBorder="1" applyAlignment="1" applyProtection="1">
      <alignment vertical="center"/>
      <protection locked="0"/>
    </xf>
    <xf numFmtId="0" fontId="33" fillId="4" borderId="3" xfId="0" applyFont="1" applyFill="1" applyBorder="1" applyAlignment="1" applyProtection="1">
      <alignment horizontal="left" vertical="center" wrapText="1"/>
      <protection locked="0"/>
    </xf>
    <xf numFmtId="2" fontId="33" fillId="4" borderId="3" xfId="0" applyNumberFormat="1" applyFont="1" applyFill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4" fontId="33" fillId="4" borderId="22" xfId="0" applyNumberFormat="1" applyFont="1" applyFill="1" applyBorder="1" applyAlignment="1" applyProtection="1">
      <alignment vertical="center"/>
      <protection locked="0"/>
    </xf>
    <xf numFmtId="0" fontId="33" fillId="4" borderId="7" xfId="15" applyFont="1" applyFill="1" applyBorder="1" applyAlignment="1" applyProtection="1">
      <alignment horizontal="left" vertical="center" wrapText="1"/>
      <protection locked="0"/>
    </xf>
    <xf numFmtId="167" fontId="34" fillId="4" borderId="7" xfId="0" applyNumberFormat="1" applyFont="1" applyFill="1" applyBorder="1" applyAlignment="1">
      <alignment horizontal="center" vertical="center"/>
    </xf>
    <xf numFmtId="4" fontId="33" fillId="4" borderId="7" xfId="0" applyNumberFormat="1" applyFont="1" applyFill="1" applyBorder="1" applyAlignment="1" applyProtection="1">
      <alignment vertical="center"/>
      <protection locked="0"/>
    </xf>
    <xf numFmtId="0" fontId="33" fillId="4" borderId="7" xfId="0" applyFont="1" applyFill="1" applyBorder="1" applyAlignment="1" applyProtection="1">
      <alignment horizontal="left" vertical="center" wrapText="1"/>
      <protection locked="0"/>
    </xf>
    <xf numFmtId="2" fontId="33" fillId="4" borderId="7" xfId="0" applyNumberFormat="1" applyFont="1" applyFill="1" applyBorder="1" applyAlignment="1" applyProtection="1">
      <alignment horizontal="center" vertical="center"/>
      <protection locked="0"/>
    </xf>
    <xf numFmtId="4" fontId="10" fillId="4" borderId="7" xfId="0" applyNumberFormat="1" applyFont="1" applyFill="1" applyBorder="1" applyAlignment="1" applyProtection="1">
      <alignment horizontal="center" vertical="center" wrapText="1"/>
      <protection locked="0"/>
    </xf>
    <xf numFmtId="4" fontId="33" fillId="4" borderId="44" xfId="0" applyNumberFormat="1" applyFont="1" applyFill="1" applyBorder="1" applyAlignment="1" applyProtection="1">
      <alignment horizontal="center" vertical="center"/>
      <protection locked="0"/>
    </xf>
    <xf numFmtId="0" fontId="34" fillId="4" borderId="4" xfId="0" applyFont="1" applyFill="1" applyBorder="1" applyAlignment="1" applyProtection="1">
      <alignment horizontal="left" vertical="center" wrapText="1"/>
      <protection locked="0"/>
    </xf>
    <xf numFmtId="0" fontId="33" fillId="4" borderId="4" xfId="0" applyFont="1" applyFill="1" applyBorder="1" applyAlignment="1">
      <alignment horizontal="left" vertical="center"/>
    </xf>
    <xf numFmtId="4" fontId="33" fillId="4" borderId="4" xfId="0" applyNumberFormat="1" applyFont="1" applyFill="1" applyBorder="1" applyAlignment="1" applyProtection="1">
      <alignment vertical="center"/>
      <protection locked="0"/>
    </xf>
    <xf numFmtId="0" fontId="33" fillId="4" borderId="4" xfId="0" applyFont="1" applyFill="1" applyBorder="1" applyAlignment="1" applyProtection="1">
      <alignment vertical="center"/>
      <protection locked="0"/>
    </xf>
    <xf numFmtId="2" fontId="33" fillId="4" borderId="4" xfId="0" applyNumberFormat="1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4" fontId="33" fillId="4" borderId="36" xfId="0" applyNumberFormat="1" applyFont="1" applyFill="1" applyBorder="1" applyAlignment="1" applyProtection="1">
      <alignment vertical="center"/>
      <protection locked="0"/>
    </xf>
    <xf numFmtId="0" fontId="33" fillId="4" borderId="4" xfId="0" applyFont="1" applyFill="1" applyBorder="1" applyAlignment="1" applyProtection="1">
      <alignment horizontal="left" vertical="center" wrapText="1"/>
      <protection locked="0"/>
    </xf>
    <xf numFmtId="3" fontId="33" fillId="4" borderId="4" xfId="0" applyNumberFormat="1" applyFont="1" applyFill="1" applyBorder="1" applyAlignment="1">
      <alignment horizontal="center" vertical="center"/>
    </xf>
    <xf numFmtId="0" fontId="39" fillId="4" borderId="4" xfId="0" applyFont="1" applyFill="1" applyBorder="1" applyAlignment="1" applyProtection="1">
      <alignment horizontal="left" vertical="center" wrapText="1"/>
      <protection locked="0"/>
    </xf>
    <xf numFmtId="0" fontId="33" fillId="4" borderId="17" xfId="0" applyFont="1" applyFill="1" applyBorder="1" applyAlignment="1" applyProtection="1">
      <alignment horizontal="right" vertical="center" wrapText="1"/>
      <protection locked="0"/>
    </xf>
    <xf numFmtId="168" fontId="33" fillId="4" borderId="17" xfId="0" applyNumberFormat="1" applyFont="1" applyFill="1" applyBorder="1" applyAlignment="1">
      <alignment horizontal="center" vertical="center"/>
    </xf>
    <xf numFmtId="4" fontId="33" fillId="4" borderId="17" xfId="0" applyNumberFormat="1" applyFont="1" applyFill="1" applyBorder="1" applyAlignment="1" applyProtection="1">
      <alignment vertical="center"/>
      <protection locked="0"/>
    </xf>
    <xf numFmtId="0" fontId="33" fillId="4" borderId="17" xfId="0" applyFont="1" applyFill="1" applyBorder="1" applyAlignment="1" applyProtection="1">
      <alignment vertical="center"/>
      <protection locked="0"/>
    </xf>
    <xf numFmtId="2" fontId="33" fillId="4" borderId="17" xfId="0" applyNumberFormat="1" applyFont="1" applyFill="1" applyBorder="1" applyAlignment="1" applyProtection="1">
      <alignment horizontal="center" vertical="center"/>
      <protection locked="0"/>
    </xf>
    <xf numFmtId="0" fontId="10" fillId="4" borderId="17" xfId="0" applyFont="1" applyFill="1" applyBorder="1" applyAlignment="1" applyProtection="1">
      <alignment horizontal="center" vertical="center" wrapText="1"/>
      <protection locked="0"/>
    </xf>
    <xf numFmtId="4" fontId="33" fillId="4" borderId="41" xfId="0" applyNumberFormat="1" applyFont="1" applyFill="1" applyBorder="1" applyAlignment="1" applyProtection="1">
      <alignment vertical="center"/>
      <protection locked="0"/>
    </xf>
    <xf numFmtId="0" fontId="33" fillId="4" borderId="53" xfId="22" applyFont="1" applyFill="1" applyBorder="1" applyAlignment="1">
      <alignment horizontal="center" vertical="center" wrapText="1"/>
    </xf>
    <xf numFmtId="0" fontId="39" fillId="4" borderId="46" xfId="0" applyFont="1" applyFill="1" applyBorder="1" applyAlignment="1" applyProtection="1">
      <alignment horizontal="left" vertical="center" wrapText="1"/>
      <protection locked="0"/>
    </xf>
    <xf numFmtId="168" fontId="33" fillId="4" borderId="56" xfId="0" applyNumberFormat="1" applyFont="1" applyFill="1" applyBorder="1" applyAlignment="1">
      <alignment horizontal="center" vertical="center"/>
    </xf>
    <xf numFmtId="4" fontId="33" fillId="4" borderId="23" xfId="0" applyNumberFormat="1" applyFont="1" applyFill="1" applyBorder="1" applyAlignment="1" applyProtection="1">
      <alignment vertical="center"/>
      <protection locked="0"/>
    </xf>
    <xf numFmtId="0" fontId="33" fillId="4" borderId="23" xfId="0" applyFont="1" applyFill="1" applyBorder="1" applyAlignment="1" applyProtection="1">
      <alignment horizontal="left" vertical="center" wrapText="1"/>
      <protection locked="0"/>
    </xf>
    <xf numFmtId="2" fontId="33" fillId="4" borderId="23" xfId="0" applyNumberFormat="1" applyFont="1" applyFill="1" applyBorder="1" applyAlignment="1" applyProtection="1">
      <alignment horizontal="center" vertical="center"/>
      <protection locked="0"/>
    </xf>
    <xf numFmtId="0" fontId="10" fillId="4" borderId="46" xfId="0" applyFont="1" applyFill="1" applyBorder="1" applyAlignment="1" applyProtection="1">
      <alignment horizontal="center" vertical="center" wrapText="1"/>
      <protection locked="0"/>
    </xf>
    <xf numFmtId="4" fontId="33" fillId="4" borderId="24" xfId="0" applyNumberFormat="1" applyFont="1" applyFill="1" applyBorder="1" applyAlignment="1" applyProtection="1">
      <alignment vertical="center"/>
      <protection locked="0"/>
    </xf>
    <xf numFmtId="0" fontId="34" fillId="4" borderId="4" xfId="15" applyFont="1" applyFill="1" applyBorder="1" applyAlignment="1" applyProtection="1">
      <alignment horizontal="left" vertical="center" wrapText="1"/>
      <protection locked="0"/>
    </xf>
    <xf numFmtId="168" fontId="34" fillId="4" borderId="7" xfId="0" applyNumberFormat="1" applyFont="1" applyFill="1" applyBorder="1" applyAlignment="1">
      <alignment horizontal="center" vertical="center"/>
    </xf>
    <xf numFmtId="168" fontId="33" fillId="4" borderId="4" xfId="0" applyNumberFormat="1" applyFont="1" applyFill="1" applyBorder="1" applyAlignment="1">
      <alignment horizontal="center" vertical="center"/>
    </xf>
    <xf numFmtId="0" fontId="33" fillId="4" borderId="17" xfId="0" applyFont="1" applyFill="1" applyBorder="1" applyAlignment="1" applyProtection="1">
      <alignment horizontal="left" vertical="center" wrapText="1"/>
      <protection locked="0"/>
    </xf>
    <xf numFmtId="0" fontId="33" fillId="4" borderId="3" xfId="5" applyFont="1" applyFill="1" applyBorder="1" applyAlignment="1">
      <alignment horizontal="center" vertical="center" wrapText="1"/>
    </xf>
    <xf numFmtId="0" fontId="33" fillId="4" borderId="3" xfId="5" applyFont="1" applyFill="1" applyBorder="1" applyAlignment="1">
      <alignment vertical="center" wrapText="1"/>
    </xf>
    <xf numFmtId="4" fontId="33" fillId="4" borderId="3" xfId="16" applyNumberFormat="1" applyFont="1" applyFill="1" applyBorder="1" applyAlignment="1" applyProtection="1">
      <alignment vertical="center"/>
      <protection locked="0"/>
    </xf>
    <xf numFmtId="0" fontId="19" fillId="4" borderId="3" xfId="5" applyFont="1" applyFill="1" applyBorder="1" applyAlignment="1">
      <alignment horizontal="center" vertical="center" wrapText="1"/>
    </xf>
    <xf numFmtId="0" fontId="57" fillId="4" borderId="3" xfId="3" quotePrefix="1" applyFont="1" applyFill="1" applyBorder="1" applyAlignment="1">
      <alignment horizontal="center" vertical="center" wrapText="1"/>
    </xf>
    <xf numFmtId="0" fontId="33" fillId="4" borderId="0" xfId="5" applyFont="1" applyFill="1" applyAlignment="1">
      <alignment vertical="center"/>
    </xf>
    <xf numFmtId="0" fontId="33" fillId="0" borderId="0" xfId="13" applyFont="1" applyFill="1" applyBorder="1" applyAlignment="1" applyProtection="1">
      <alignment vertical="center"/>
      <protection locked="0"/>
    </xf>
    <xf numFmtId="0" fontId="33" fillId="0" borderId="0" xfId="5" applyFont="1" applyFill="1" applyAlignment="1">
      <alignment horizontal="left" vertical="center"/>
    </xf>
    <xf numFmtId="0" fontId="34" fillId="0" borderId="0" xfId="5" applyFont="1" applyFill="1" applyAlignment="1">
      <alignment vertical="center" wrapText="1"/>
    </xf>
    <xf numFmtId="0" fontId="47" fillId="0" borderId="0" xfId="22" applyFont="1" applyFill="1" applyAlignment="1">
      <alignment vertical="center"/>
    </xf>
    <xf numFmtId="2" fontId="47" fillId="0" borderId="0" xfId="22" applyNumberFormat="1" applyFont="1" applyFill="1" applyAlignment="1">
      <alignment vertical="center"/>
    </xf>
    <xf numFmtId="0" fontId="47" fillId="0" borderId="0" xfId="22" applyFont="1" applyFill="1" applyAlignment="1">
      <alignment horizontal="center" vertical="center"/>
    </xf>
    <xf numFmtId="0" fontId="8" fillId="0" borderId="0" xfId="22" applyFont="1" applyFill="1" applyAlignment="1">
      <alignment vertical="center"/>
    </xf>
    <xf numFmtId="0" fontId="95" fillId="0" borderId="0" xfId="18" applyFont="1" applyFill="1" applyBorder="1" applyAlignment="1" applyProtection="1">
      <alignment vertical="center"/>
      <protection locked="0"/>
    </xf>
    <xf numFmtId="0" fontId="95" fillId="0" borderId="0" xfId="18" applyFont="1" applyFill="1" applyAlignment="1">
      <alignment vertical="center"/>
    </xf>
    <xf numFmtId="0" fontId="45" fillId="0" borderId="0" xfId="22" applyFont="1" applyFill="1" applyBorder="1" applyAlignment="1">
      <alignment horizontal="center" vertical="center" wrapText="1"/>
    </xf>
    <xf numFmtId="0" fontId="27" fillId="0" borderId="3" xfId="22" applyFont="1" applyFill="1" applyBorder="1" applyAlignment="1">
      <alignment horizontal="centerContinuous" vertical="center" wrapText="1"/>
    </xf>
    <xf numFmtId="0" fontId="27" fillId="0" borderId="3" xfId="22" applyFont="1" applyFill="1" applyBorder="1" applyAlignment="1">
      <alignment horizontal="center" vertical="center" wrapText="1"/>
    </xf>
    <xf numFmtId="0" fontId="27" fillId="0" borderId="3" xfId="22" applyNumberFormat="1" applyFont="1" applyFill="1" applyBorder="1" applyAlignment="1">
      <alignment horizontal="center" vertical="center" wrapText="1"/>
    </xf>
    <xf numFmtId="0" fontId="47" fillId="0" borderId="3" xfId="22" applyFont="1" applyFill="1" applyBorder="1" applyAlignment="1">
      <alignment vertical="center"/>
    </xf>
    <xf numFmtId="2" fontId="47" fillId="0" borderId="3" xfId="22" applyNumberFormat="1" applyFont="1" applyFill="1" applyBorder="1" applyAlignment="1">
      <alignment vertical="center"/>
    </xf>
    <xf numFmtId="168" fontId="47" fillId="0" borderId="3" xfId="22" applyNumberFormat="1" applyFont="1" applyFill="1" applyBorder="1" applyAlignment="1">
      <alignment horizontal="center" vertical="center"/>
    </xf>
    <xf numFmtId="0" fontId="47" fillId="0" borderId="3" xfId="22" applyFont="1" applyFill="1" applyBorder="1" applyAlignment="1">
      <alignment vertical="center" wrapText="1"/>
    </xf>
    <xf numFmtId="0" fontId="47" fillId="0" borderId="3" xfId="22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>
      <alignment vertical="center"/>
    </xf>
    <xf numFmtId="0" fontId="47" fillId="0" borderId="3" xfId="22" applyNumberFormat="1" applyFont="1" applyFill="1" applyBorder="1" applyAlignment="1">
      <alignment horizontal="center" vertical="center"/>
    </xf>
    <xf numFmtId="3" fontId="47" fillId="0" borderId="3" xfId="22" applyNumberFormat="1" applyFont="1" applyFill="1" applyBorder="1" applyAlignment="1" applyProtection="1">
      <alignment vertical="center"/>
      <protection hidden="1"/>
    </xf>
    <xf numFmtId="2" fontId="47" fillId="0" borderId="3" xfId="22" applyNumberFormat="1" applyFont="1" applyFill="1" applyBorder="1" applyAlignment="1">
      <alignment horizontal="center" vertical="center"/>
    </xf>
    <xf numFmtId="3" fontId="47" fillId="0" borderId="3" xfId="22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21" fillId="0" borderId="0" xfId="22" applyFont="1" applyFill="1" applyAlignment="1">
      <alignment vertical="center"/>
    </xf>
    <xf numFmtId="2" fontId="21" fillId="0" borderId="0" xfId="22" applyNumberFormat="1" applyFont="1" applyFill="1" applyAlignment="1">
      <alignment vertical="center"/>
    </xf>
    <xf numFmtId="0" fontId="21" fillId="0" borderId="0" xfId="22" applyFont="1" applyFill="1" applyAlignment="1">
      <alignment horizontal="center" vertical="center"/>
    </xf>
    <xf numFmtId="4" fontId="33" fillId="0" borderId="0" xfId="13" applyNumberFormat="1" applyFont="1" applyFill="1" applyBorder="1" applyAlignment="1" applyProtection="1">
      <alignment vertical="center"/>
      <protection locked="0"/>
    </xf>
    <xf numFmtId="0" fontId="33" fillId="0" borderId="0" xfId="13" applyFont="1" applyFill="1" applyBorder="1" applyAlignment="1" applyProtection="1">
      <alignment vertical="center" wrapText="1"/>
      <protection locked="0"/>
    </xf>
    <xf numFmtId="4" fontId="33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" applyFont="1" applyFill="1" applyBorder="1" applyAlignment="1" applyProtection="1">
      <alignment horizontal="center" vertical="center" wrapText="1"/>
      <protection locked="0"/>
    </xf>
    <xf numFmtId="2" fontId="51" fillId="0" borderId="0" xfId="13" applyNumberFormat="1" applyFont="1" applyFill="1" applyBorder="1" applyAlignment="1" applyProtection="1">
      <alignment vertical="center"/>
      <protection locked="0"/>
    </xf>
    <xf numFmtId="4" fontId="33" fillId="0" borderId="0" xfId="5" applyNumberFormat="1" applyFont="1" applyFill="1" applyBorder="1" applyAlignment="1" applyProtection="1">
      <alignment vertical="center"/>
      <protection locked="0"/>
    </xf>
    <xf numFmtId="2" fontId="33" fillId="0" borderId="0" xfId="13" applyNumberFormat="1" applyFont="1" applyFill="1" applyBorder="1" applyAlignment="1" applyProtection="1">
      <alignment vertical="center"/>
      <protection locked="0"/>
    </xf>
    <xf numFmtId="0" fontId="19" fillId="0" borderId="0" xfId="5" applyFont="1" applyFill="1" applyBorder="1" applyAlignment="1" applyProtection="1">
      <alignment vertical="center"/>
      <protection locked="0"/>
    </xf>
    <xf numFmtId="0" fontId="8" fillId="0" borderId="0" xfId="22" applyFill="1" applyAlignment="1">
      <alignment vertical="center"/>
    </xf>
    <xf numFmtId="0" fontId="95" fillId="0" borderId="0" xfId="18" applyFont="1" applyFill="1" applyBorder="1" applyAlignment="1" applyProtection="1">
      <alignment vertical="center" wrapText="1"/>
      <protection locked="0"/>
    </xf>
    <xf numFmtId="0" fontId="108" fillId="0" borderId="0" xfId="18" applyFont="1" applyFill="1" applyAlignment="1">
      <alignment vertical="center"/>
    </xf>
    <xf numFmtId="0" fontId="95" fillId="0" borderId="0" xfId="18" applyFont="1" applyAlignment="1">
      <alignment vertical="center"/>
    </xf>
    <xf numFmtId="167" fontId="47" fillId="0" borderId="3" xfId="22" applyNumberFormat="1" applyFont="1" applyFill="1" applyBorder="1" applyAlignment="1">
      <alignment vertical="center"/>
    </xf>
    <xf numFmtId="0" fontId="28" fillId="0" borderId="0" xfId="22" applyFont="1" applyFill="1" applyAlignment="1">
      <alignment vertical="center"/>
    </xf>
    <xf numFmtId="167" fontId="47" fillId="0" borderId="3" xfId="22" applyNumberFormat="1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 applyProtection="1">
      <alignment vertical="center"/>
      <protection hidden="1"/>
    </xf>
    <xf numFmtId="4" fontId="33" fillId="4" borderId="3" xfId="5" applyNumberFormat="1" applyFont="1" applyFill="1" applyBorder="1" applyAlignment="1">
      <alignment horizontal="center"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0" xfId="0" applyFont="1" applyFill="1" applyBorder="1" applyAlignment="1">
      <alignment horizontal="center" vertical="center"/>
    </xf>
    <xf numFmtId="0" fontId="63" fillId="0" borderId="4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  <protection locked="0"/>
    </xf>
    <xf numFmtId="4" fontId="21" fillId="0" borderId="0" xfId="0" applyNumberFormat="1" applyFont="1" applyBorder="1" applyAlignment="1" applyProtection="1">
      <alignment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 applyProtection="1">
      <alignment horizontal="left" vertical="center" wrapText="1"/>
      <protection locked="0"/>
    </xf>
    <xf numFmtId="2" fontId="21" fillId="0" borderId="0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2" fontId="33" fillId="0" borderId="0" xfId="0" applyNumberFormat="1" applyFont="1" applyBorder="1" applyAlignment="1" applyProtection="1">
      <alignment vertical="center" wrapText="1"/>
      <protection locked="0"/>
    </xf>
    <xf numFmtId="0" fontId="34" fillId="0" borderId="0" xfId="0" applyFont="1" applyBorder="1" applyAlignment="1" applyProtection="1">
      <alignment horizontal="center" vertical="center" wrapText="1"/>
      <protection locked="0"/>
    </xf>
    <xf numFmtId="0" fontId="20" fillId="0" borderId="48" xfId="0" applyFont="1" applyBorder="1" applyAlignment="1" applyProtection="1">
      <alignment horizontal="center" vertical="center" wrapText="1"/>
      <protection locked="0"/>
    </xf>
    <xf numFmtId="4" fontId="20" fillId="0" borderId="23" xfId="0" applyNumberFormat="1" applyFont="1" applyBorder="1" applyAlignment="1" applyProtection="1">
      <alignment horizontal="center" vertical="center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2" fontId="20" fillId="0" borderId="23" xfId="0" applyNumberFormat="1" applyFont="1" applyBorder="1" applyAlignment="1" applyProtection="1">
      <alignment horizontal="center" vertical="center" wrapText="1"/>
      <protection locked="0"/>
    </xf>
    <xf numFmtId="0" fontId="20" fillId="0" borderId="24" xfId="0" applyFont="1" applyBorder="1" applyAlignment="1" applyProtection="1">
      <alignment horizontal="center" vertical="center"/>
      <protection locked="0"/>
    </xf>
    <xf numFmtId="4" fontId="19" fillId="0" borderId="0" xfId="0" applyNumberFormat="1" applyFont="1" applyBorder="1" applyAlignment="1" applyProtection="1">
      <alignment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4" fontId="11" fillId="0" borderId="3" xfId="0" applyNumberFormat="1" applyFont="1" applyBorder="1" applyAlignment="1" applyProtection="1">
      <alignment vertical="center" wrapText="1"/>
      <protection locked="0"/>
    </xf>
    <xf numFmtId="0" fontId="19" fillId="0" borderId="3" xfId="0" applyFont="1" applyBorder="1" applyAlignment="1" applyProtection="1">
      <alignment vertical="center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10" fillId="0" borderId="0" xfId="0" applyFont="1"/>
    <xf numFmtId="0" fontId="10" fillId="0" borderId="3" xfId="0" applyFont="1" applyBorder="1" applyAlignment="1" applyProtection="1">
      <alignment horizontal="center" vertical="center"/>
      <protection locked="0"/>
    </xf>
    <xf numFmtId="4" fontId="10" fillId="0" borderId="3" xfId="0" applyNumberFormat="1" applyFont="1" applyBorder="1" applyAlignment="1" applyProtection="1">
      <alignment horizontal="center" vertical="center" wrapText="1"/>
      <protection locked="0"/>
    </xf>
    <xf numFmtId="4" fontId="33" fillId="0" borderId="22" xfId="0" applyNumberFormat="1" applyFont="1" applyBorder="1" applyAlignment="1" applyProtection="1">
      <alignment horizontal="right" vertical="center"/>
      <protection locked="0"/>
    </xf>
    <xf numFmtId="175" fontId="19" fillId="0" borderId="0" xfId="0" applyNumberFormat="1" applyFont="1" applyBorder="1" applyAlignment="1" applyProtection="1">
      <alignment vertical="center"/>
      <protection locked="0"/>
    </xf>
    <xf numFmtId="166" fontId="10" fillId="0" borderId="3" xfId="0" applyNumberFormat="1" applyFont="1" applyBorder="1" applyAlignment="1" applyProtection="1">
      <alignment horizontal="center" vertical="center"/>
      <protection locked="0"/>
    </xf>
    <xf numFmtId="4" fontId="34" fillId="0" borderId="22" xfId="0" applyNumberFormat="1" applyFont="1" applyBorder="1" applyAlignment="1" applyProtection="1">
      <alignment horizontal="right" vertical="center"/>
      <protection locked="0"/>
    </xf>
    <xf numFmtId="176" fontId="19" fillId="0" borderId="0" xfId="0" applyNumberFormat="1" applyFont="1" applyBorder="1" applyAlignment="1" applyProtection="1">
      <alignment vertical="center"/>
      <protection locked="0"/>
    </xf>
    <xf numFmtId="4" fontId="34" fillId="0" borderId="3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 applyProtection="1">
      <alignment vertical="center"/>
      <protection locked="0"/>
    </xf>
    <xf numFmtId="0" fontId="19" fillId="0" borderId="21" xfId="0" applyFont="1" applyBorder="1" applyAlignment="1" applyProtection="1">
      <alignment horizontal="center" vertical="center"/>
      <protection locked="0"/>
    </xf>
    <xf numFmtId="4" fontId="34" fillId="0" borderId="37" xfId="0" applyNumberFormat="1" applyFont="1" applyBorder="1" applyAlignment="1" applyProtection="1">
      <alignment vertical="center"/>
      <protection locked="0"/>
    </xf>
    <xf numFmtId="0" fontId="33" fillId="0" borderId="37" xfId="0" applyFont="1" applyBorder="1" applyAlignment="1" applyProtection="1">
      <alignment vertical="center"/>
      <protection locked="0"/>
    </xf>
    <xf numFmtId="0" fontId="10" fillId="0" borderId="37" xfId="0" applyFont="1" applyBorder="1" applyAlignment="1" applyProtection="1">
      <alignment horizontal="center" vertical="center"/>
      <protection locked="0"/>
    </xf>
    <xf numFmtId="4" fontId="11" fillId="0" borderId="37" xfId="0" applyNumberFormat="1" applyFont="1" applyBorder="1" applyAlignment="1" applyProtection="1">
      <alignment horizontal="center" vertical="center" wrapText="1"/>
      <protection locked="0"/>
    </xf>
    <xf numFmtId="4" fontId="34" fillId="0" borderId="45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2" fontId="19" fillId="0" borderId="0" xfId="0" applyNumberFormat="1" applyFont="1" applyBorder="1" applyAlignment="1" applyProtection="1">
      <alignment horizontal="center" vertical="center" wrapText="1"/>
      <protection locked="0"/>
    </xf>
    <xf numFmtId="0" fontId="32" fillId="0" borderId="0" xfId="0" applyFont="1" applyBorder="1" applyAlignment="1" applyProtection="1">
      <alignment vertical="center"/>
      <protection locked="0"/>
    </xf>
    <xf numFmtId="4" fontId="19" fillId="0" borderId="0" xfId="0" applyNumberFormat="1" applyFont="1" applyBorder="1" applyAlignment="1" applyProtection="1">
      <alignment horizontal="right" vertical="center"/>
      <protection locked="0"/>
    </xf>
    <xf numFmtId="0" fontId="19" fillId="0" borderId="29" xfId="0" applyFont="1" applyBorder="1" applyAlignment="1" applyProtection="1">
      <alignment vertical="center"/>
      <protection locked="0"/>
    </xf>
    <xf numFmtId="0" fontId="19" fillId="0" borderId="29" xfId="0" applyFont="1" applyBorder="1" applyAlignment="1" applyProtection="1">
      <alignment horizontal="center" vertical="center"/>
      <protection locked="0"/>
    </xf>
    <xf numFmtId="4" fontId="10" fillId="0" borderId="6" xfId="0" applyNumberFormat="1" applyFont="1" applyBorder="1" applyAlignment="1" applyProtection="1">
      <alignment horizontal="center" vertical="center" wrapText="1"/>
      <protection locked="0"/>
    </xf>
    <xf numFmtId="43" fontId="33" fillId="0" borderId="3" xfId="59" applyFont="1" applyFill="1" applyBorder="1" applyAlignment="1" applyProtection="1">
      <alignment horizontal="center" vertical="center" wrapText="1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0" fontId="101" fillId="0" borderId="0" xfId="10" applyFont="1" applyFill="1" applyAlignment="1">
      <alignment vertical="center" wrapText="1"/>
    </xf>
    <xf numFmtId="0" fontId="44" fillId="0" borderId="0" xfId="10" applyFont="1" applyFill="1" applyAlignment="1">
      <alignment vertical="center"/>
    </xf>
    <xf numFmtId="0" fontId="104" fillId="0" borderId="0" xfId="0" applyFont="1" applyAlignment="1">
      <alignment horizontal="left" vertical="center"/>
    </xf>
    <xf numFmtId="0" fontId="57" fillId="0" borderId="0" xfId="60" applyFont="1" applyAlignment="1">
      <alignment vertical="center"/>
    </xf>
    <xf numFmtId="0" fontId="33" fillId="0" borderId="0" xfId="60" applyNumberFormat="1" applyFont="1" applyFill="1" applyBorder="1" applyAlignment="1" applyProtection="1">
      <alignment vertical="center"/>
    </xf>
    <xf numFmtId="0" fontId="34" fillId="0" borderId="0" xfId="60" applyFont="1" applyAlignment="1">
      <alignment horizontal="center" vertical="center" wrapText="1" shrinkToFit="1"/>
    </xf>
    <xf numFmtId="0" fontId="33" fillId="0" borderId="0" xfId="60" applyNumberFormat="1" applyFont="1" applyFill="1" applyBorder="1" applyAlignment="1" applyProtection="1">
      <alignment horizontal="center" vertical="center"/>
    </xf>
    <xf numFmtId="0" fontId="115" fillId="0" borderId="19" xfId="60" applyFont="1" applyBorder="1" applyAlignment="1">
      <alignment horizontal="center" vertical="center" wrapText="1"/>
    </xf>
    <xf numFmtId="0" fontId="115" fillId="0" borderId="5" xfId="60" applyFont="1" applyBorder="1" applyAlignment="1">
      <alignment horizontal="center" vertical="center" wrapText="1"/>
    </xf>
    <xf numFmtId="0" fontId="20" fillId="0" borderId="5" xfId="60" applyFont="1" applyBorder="1" applyAlignment="1">
      <alignment horizontal="center" vertical="center" wrapText="1"/>
    </xf>
    <xf numFmtId="0" fontId="20" fillId="0" borderId="5" xfId="60" applyNumberFormat="1" applyFont="1" applyFill="1" applyBorder="1" applyAlignment="1" applyProtection="1">
      <alignment horizontal="center" vertical="center" wrapText="1"/>
    </xf>
    <xf numFmtId="0" fontId="20" fillId="0" borderId="5" xfId="60" applyFont="1" applyFill="1" applyBorder="1" applyAlignment="1" applyProtection="1">
      <alignment horizontal="center" vertical="center" wrapText="1"/>
      <protection locked="0"/>
    </xf>
    <xf numFmtId="4" fontId="20" fillId="0" borderId="9" xfId="6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60" applyNumberFormat="1" applyFont="1" applyFill="1" applyBorder="1" applyAlignment="1" applyProtection="1">
      <alignment vertical="center"/>
    </xf>
    <xf numFmtId="0" fontId="114" fillId="0" borderId="19" xfId="60" applyFont="1" applyBorder="1" applyAlignment="1">
      <alignment horizontal="center" vertical="center" wrapText="1"/>
    </xf>
    <xf numFmtId="0" fontId="94" fillId="0" borderId="5" xfId="61" applyFont="1" applyBorder="1" applyAlignment="1">
      <alignment horizontal="left" vertical="center"/>
    </xf>
    <xf numFmtId="0" fontId="114" fillId="0" borderId="5" xfId="60" applyFont="1" applyBorder="1" applyAlignment="1">
      <alignment horizontal="center" vertical="center" wrapText="1"/>
    </xf>
    <xf numFmtId="0" fontId="34" fillId="0" borderId="5" xfId="60" applyNumberFormat="1" applyFont="1" applyFill="1" applyBorder="1" applyAlignment="1" applyProtection="1">
      <alignment horizontal="center" vertical="center"/>
    </xf>
    <xf numFmtId="0" fontId="34" fillId="0" borderId="9" xfId="60" applyNumberFormat="1" applyFont="1" applyFill="1" applyBorder="1" applyAlignment="1" applyProtection="1">
      <alignment horizontal="center" vertical="center"/>
    </xf>
    <xf numFmtId="0" fontId="33" fillId="0" borderId="14" xfId="60" applyNumberFormat="1" applyFont="1" applyFill="1" applyBorder="1" applyAlignment="1" applyProtection="1">
      <alignment horizontal="center" vertical="center"/>
    </xf>
    <xf numFmtId="0" fontId="10" fillId="0" borderId="6" xfId="60" applyNumberFormat="1" applyFont="1" applyFill="1" applyBorder="1" applyAlignment="1" applyProtection="1">
      <alignment horizontal="left" vertical="center" wrapText="1"/>
    </xf>
    <xf numFmtId="0" fontId="33" fillId="0" borderId="6" xfId="60" applyNumberFormat="1" applyFont="1" applyFill="1" applyBorder="1" applyAlignment="1" applyProtection="1">
      <alignment horizontal="center" vertical="center"/>
    </xf>
    <xf numFmtId="164" fontId="33" fillId="0" borderId="6" xfId="62" applyFont="1" applyBorder="1" applyAlignment="1" applyProtection="1">
      <alignment vertical="center"/>
      <protection locked="0"/>
    </xf>
    <xf numFmtId="164" fontId="64" fillId="0" borderId="6" xfId="62" applyFont="1" applyBorder="1" applyAlignment="1" applyProtection="1">
      <alignment vertical="center"/>
      <protection locked="0"/>
    </xf>
    <xf numFmtId="164" fontId="33" fillId="0" borderId="66" xfId="62" applyFont="1" applyBorder="1" applyAlignment="1" applyProtection="1">
      <alignment vertical="center"/>
      <protection locked="0"/>
    </xf>
    <xf numFmtId="0" fontId="33" fillId="0" borderId="20" xfId="60" applyNumberFormat="1" applyFont="1" applyFill="1" applyBorder="1" applyAlignment="1" applyProtection="1">
      <alignment horizontal="center" vertical="center"/>
    </xf>
    <xf numFmtId="0" fontId="10" fillId="0" borderId="3" xfId="60" applyNumberFormat="1" applyFont="1" applyFill="1" applyBorder="1" applyAlignment="1" applyProtection="1">
      <alignment horizontal="left" vertical="center" wrapText="1"/>
    </xf>
    <xf numFmtId="0" fontId="33" fillId="0" borderId="3" xfId="60" applyNumberFormat="1" applyFont="1" applyFill="1" applyBorder="1" applyAlignment="1" applyProtection="1">
      <alignment horizontal="center" vertical="center"/>
    </xf>
    <xf numFmtId="164" fontId="33" fillId="0" borderId="3" xfId="62" applyFont="1" applyBorder="1" applyAlignment="1" applyProtection="1">
      <alignment vertical="center"/>
      <protection locked="0"/>
    </xf>
    <xf numFmtId="164" fontId="64" fillId="0" borderId="3" xfId="62" applyFont="1" applyBorder="1" applyAlignment="1" applyProtection="1">
      <alignment vertical="center"/>
      <protection locked="0"/>
    </xf>
    <xf numFmtId="164" fontId="33" fillId="0" borderId="22" xfId="62" applyFont="1" applyBorder="1" applyAlignment="1" applyProtection="1">
      <alignment vertical="center"/>
      <protection locked="0"/>
    </xf>
    <xf numFmtId="0" fontId="33" fillId="0" borderId="70" xfId="60" applyNumberFormat="1" applyFont="1" applyFill="1" applyBorder="1" applyAlignment="1" applyProtection="1">
      <alignment horizontal="center" vertical="center"/>
    </xf>
    <xf numFmtId="0" fontId="10" fillId="0" borderId="4" xfId="60" applyNumberFormat="1" applyFont="1" applyFill="1" applyBorder="1" applyAlignment="1" applyProtection="1">
      <alignment horizontal="left" vertical="center" wrapText="1"/>
    </xf>
    <xf numFmtId="0" fontId="33" fillId="0" borderId="7" xfId="60" applyNumberFormat="1" applyFont="1" applyFill="1" applyBorder="1" applyAlignment="1" applyProtection="1">
      <alignment horizontal="center" vertical="center"/>
    </xf>
    <xf numFmtId="164" fontId="33" fillId="0" borderId="7" xfId="62" applyFont="1" applyBorder="1" applyAlignment="1" applyProtection="1">
      <alignment vertical="center"/>
      <protection locked="0"/>
    </xf>
    <xf numFmtId="164" fontId="33" fillId="0" borderId="7" xfId="62" applyFont="1" applyBorder="1" applyAlignment="1" applyProtection="1">
      <alignment vertical="center" wrapText="1"/>
      <protection locked="0"/>
    </xf>
    <xf numFmtId="164" fontId="33" fillId="0" borderId="44" xfId="62" applyFont="1" applyBorder="1" applyAlignment="1" applyProtection="1">
      <alignment vertical="center"/>
      <protection locked="0"/>
    </xf>
    <xf numFmtId="4" fontId="34" fillId="0" borderId="0" xfId="60" applyNumberFormat="1" applyFont="1" applyFill="1" applyBorder="1" applyAlignment="1" applyProtection="1">
      <alignment vertical="center"/>
    </xf>
    <xf numFmtId="0" fontId="10" fillId="0" borderId="37" xfId="60" applyNumberFormat="1" applyFont="1" applyFill="1" applyBorder="1" applyAlignment="1" applyProtection="1">
      <alignment horizontal="left" vertical="center" wrapText="1"/>
    </xf>
    <xf numFmtId="0" fontId="34" fillId="0" borderId="19" xfId="60" applyNumberFormat="1" applyFont="1" applyFill="1" applyBorder="1" applyAlignment="1" applyProtection="1">
      <alignment horizontal="center" vertical="center"/>
    </xf>
    <xf numFmtId="0" fontId="116" fillId="0" borderId="5" xfId="60" applyFont="1" applyBorder="1" applyAlignment="1">
      <alignment horizontal="left" vertical="center"/>
    </xf>
    <xf numFmtId="4" fontId="34" fillId="0" borderId="5" xfId="60" applyNumberFormat="1" applyFont="1" applyFill="1" applyBorder="1" applyAlignment="1" applyProtection="1">
      <alignment horizontal="center" vertical="center"/>
    </xf>
    <xf numFmtId="4" fontId="34" fillId="0" borderId="9" xfId="60" applyNumberFormat="1" applyFont="1" applyFill="1" applyBorder="1" applyAlignment="1" applyProtection="1">
      <alignment horizontal="center" vertical="center"/>
    </xf>
    <xf numFmtId="0" fontId="34" fillId="0" borderId="0" xfId="60" applyNumberFormat="1" applyFont="1" applyFill="1" applyBorder="1" applyAlignment="1" applyProtection="1">
      <alignment vertical="center"/>
    </xf>
    <xf numFmtId="0" fontId="10" fillId="0" borderId="6" xfId="61" applyFont="1" applyBorder="1" applyAlignment="1">
      <alignment vertical="center" wrapText="1"/>
    </xf>
    <xf numFmtId="164" fontId="33" fillId="0" borderId="6" xfId="62" applyFont="1" applyBorder="1" applyAlignment="1" applyProtection="1">
      <alignment vertical="center" wrapText="1"/>
      <protection locked="0"/>
    </xf>
    <xf numFmtId="0" fontId="10" fillId="0" borderId="3" xfId="61" applyFont="1" applyBorder="1" applyAlignment="1">
      <alignment horizontal="left" vertical="center" wrapText="1"/>
    </xf>
    <xf numFmtId="164" fontId="33" fillId="0" borderId="3" xfId="62" applyFont="1" applyBorder="1" applyAlignment="1" applyProtection="1">
      <alignment vertical="center" wrapText="1"/>
      <protection locked="0"/>
    </xf>
    <xf numFmtId="0" fontId="10" fillId="0" borderId="3" xfId="61" applyFont="1" applyBorder="1" applyAlignment="1">
      <alignment vertical="center" wrapText="1"/>
    </xf>
    <xf numFmtId="0" fontId="10" fillId="0" borderId="7" xfId="61" applyFont="1" applyBorder="1" applyAlignment="1">
      <alignment horizontal="left" vertical="center" wrapText="1"/>
    </xf>
    <xf numFmtId="164" fontId="64" fillId="0" borderId="7" xfId="62" applyFont="1" applyBorder="1" applyAlignment="1" applyProtection="1">
      <alignment vertical="center"/>
      <protection locked="0"/>
    </xf>
    <xf numFmtId="164" fontId="55" fillId="0" borderId="3" xfId="62" applyFont="1" applyBorder="1" applyAlignment="1" applyProtection="1">
      <alignment vertical="center" wrapText="1"/>
      <protection locked="0"/>
    </xf>
    <xf numFmtId="0" fontId="34" fillId="0" borderId="19" xfId="60" applyFont="1" applyBorder="1" applyAlignment="1">
      <alignment horizontal="center" vertical="center" wrapText="1"/>
    </xf>
    <xf numFmtId="0" fontId="94" fillId="0" borderId="5" xfId="60" applyFont="1" applyBorder="1" applyAlignment="1">
      <alignment horizontal="center" vertical="center" wrapText="1"/>
    </xf>
    <xf numFmtId="0" fontId="34" fillId="0" borderId="5" xfId="60" applyFont="1" applyBorder="1" applyAlignment="1">
      <alignment horizontal="center" vertical="center" wrapText="1"/>
    </xf>
    <xf numFmtId="0" fontId="34" fillId="0" borderId="0" xfId="60" applyNumberFormat="1" applyFont="1" applyFill="1" applyBorder="1" applyAlignment="1" applyProtection="1">
      <alignment horizontal="center" vertical="center"/>
    </xf>
    <xf numFmtId="4" fontId="34" fillId="0" borderId="0" xfId="60" applyNumberFormat="1" applyFont="1" applyFill="1" applyBorder="1" applyAlignment="1" applyProtection="1">
      <alignment horizontal="center" vertical="center"/>
    </xf>
    <xf numFmtId="0" fontId="114" fillId="0" borderId="0" xfId="60" applyNumberFormat="1" applyFont="1" applyAlignment="1">
      <alignment vertical="center"/>
    </xf>
    <xf numFmtId="0" fontId="33" fillId="0" borderId="0" xfId="60" applyFont="1" applyAlignment="1">
      <alignment horizontal="center" vertical="center"/>
    </xf>
    <xf numFmtId="0" fontId="114" fillId="0" borderId="0" xfId="60" applyNumberFormat="1" applyFont="1" applyAlignment="1">
      <alignment horizontal="center" vertical="center" wrapText="1"/>
    </xf>
    <xf numFmtId="0" fontId="35" fillId="0" borderId="0" xfId="60" applyFont="1" applyAlignment="1">
      <alignment horizontal="center" vertical="center"/>
    </xf>
    <xf numFmtId="0" fontId="104" fillId="0" borderId="0" xfId="60" applyFont="1" applyAlignment="1">
      <alignment horizontal="center" vertical="center"/>
    </xf>
    <xf numFmtId="0" fontId="104" fillId="0" borderId="0" xfId="60" applyFont="1" applyAlignment="1">
      <alignment horizontal="left" vertical="center"/>
    </xf>
    <xf numFmtId="0" fontId="56" fillId="0" borderId="0" xfId="60" applyFont="1" applyAlignment="1">
      <alignment horizontal="right" vertical="center"/>
    </xf>
    <xf numFmtId="4" fontId="56" fillId="0" borderId="0" xfId="60" applyNumberFormat="1" applyFont="1" applyAlignment="1">
      <alignment horizontal="left" vertical="center"/>
    </xf>
    <xf numFmtId="4" fontId="56" fillId="0" borderId="0" xfId="60" applyNumberFormat="1" applyFont="1" applyAlignment="1">
      <alignment vertical="center"/>
    </xf>
    <xf numFmtId="0" fontId="19" fillId="0" borderId="0" xfId="60" applyFont="1" applyFill="1" applyAlignment="1">
      <alignment horizontal="center" vertical="center"/>
    </xf>
    <xf numFmtId="0" fontId="19" fillId="0" borderId="0" xfId="60" applyFont="1" applyFill="1" applyAlignment="1">
      <alignment vertical="center"/>
    </xf>
    <xf numFmtId="0" fontId="33" fillId="0" borderId="0" xfId="60" applyFont="1" applyFill="1" applyAlignment="1">
      <alignment vertical="center"/>
    </xf>
    <xf numFmtId="0" fontId="94" fillId="0" borderId="0" xfId="60" applyFont="1" applyFill="1" applyAlignment="1">
      <alignment vertical="center"/>
    </xf>
    <xf numFmtId="0" fontId="54" fillId="0" borderId="0" xfId="60" applyFont="1" applyFill="1" applyAlignment="1">
      <alignment vertical="center"/>
    </xf>
    <xf numFmtId="0" fontId="54" fillId="0" borderId="0" xfId="60" applyFont="1" applyFill="1" applyBorder="1" applyAlignment="1">
      <alignment vertical="center"/>
    </xf>
    <xf numFmtId="4" fontId="33" fillId="0" borderId="0" xfId="60" applyNumberFormat="1" applyFont="1" applyFill="1" applyBorder="1" applyAlignment="1">
      <alignment vertical="center"/>
    </xf>
    <xf numFmtId="0" fontId="33" fillId="0" borderId="0" xfId="60" applyFont="1" applyFill="1" applyBorder="1" applyAlignment="1">
      <alignment vertical="center"/>
    </xf>
    <xf numFmtId="0" fontId="19" fillId="0" borderId="0" xfId="60" applyFont="1" applyFill="1" applyBorder="1" applyAlignment="1">
      <alignment vertical="center"/>
    </xf>
    <xf numFmtId="0" fontId="19" fillId="0" borderId="0" xfId="60" applyFont="1" applyFill="1" applyAlignment="1">
      <alignment horizontal="right" vertical="center"/>
    </xf>
    <xf numFmtId="0" fontId="33" fillId="0" borderId="77" xfId="60" applyFont="1" applyFill="1" applyBorder="1" applyAlignment="1">
      <alignment horizontal="center" vertical="center"/>
    </xf>
    <xf numFmtId="0" fontId="33" fillId="0" borderId="37" xfId="60" applyFont="1" applyFill="1" applyBorder="1" applyAlignment="1">
      <alignment horizontal="center" vertical="center"/>
    </xf>
    <xf numFmtId="0" fontId="19" fillId="0" borderId="50" xfId="60" applyFont="1" applyFill="1" applyBorder="1" applyAlignment="1">
      <alignment vertical="center"/>
    </xf>
    <xf numFmtId="0" fontId="33" fillId="0" borderId="8" xfId="60" applyFont="1" applyFill="1" applyBorder="1" applyAlignment="1">
      <alignment horizontal="center" vertical="center"/>
    </xf>
    <xf numFmtId="0" fontId="33" fillId="0" borderId="5" xfId="60" applyFont="1" applyFill="1" applyBorder="1" applyAlignment="1">
      <alignment horizontal="center" vertical="center"/>
    </xf>
    <xf numFmtId="0" fontId="19" fillId="0" borderId="47" xfId="60" applyFont="1" applyFill="1" applyBorder="1" applyAlignment="1">
      <alignment vertical="center"/>
    </xf>
    <xf numFmtId="0" fontId="34" fillId="0" borderId="46" xfId="60" applyFont="1" applyFill="1" applyBorder="1" applyAlignment="1">
      <alignment horizontal="center" vertical="center"/>
    </xf>
    <xf numFmtId="0" fontId="33" fillId="0" borderId="23" xfId="60" applyFont="1" applyFill="1" applyBorder="1" applyAlignment="1">
      <alignment horizontal="center" vertical="center"/>
    </xf>
    <xf numFmtId="0" fontId="33" fillId="0" borderId="72" xfId="60" applyFont="1" applyFill="1" applyBorder="1" applyAlignment="1">
      <alignment horizontal="center" vertical="center"/>
    </xf>
    <xf numFmtId="0" fontId="33" fillId="0" borderId="6" xfId="60" applyFont="1" applyFill="1" applyBorder="1" applyAlignment="1">
      <alignment horizontal="center" vertical="center"/>
    </xf>
    <xf numFmtId="0" fontId="34" fillId="0" borderId="0" xfId="60" applyFont="1" applyFill="1" applyAlignment="1">
      <alignment horizontal="center" vertical="center"/>
    </xf>
    <xf numFmtId="0" fontId="37" fillId="0" borderId="0" xfId="60" applyFont="1" applyFill="1" applyAlignment="1">
      <alignment vertical="center"/>
    </xf>
    <xf numFmtId="0" fontId="33" fillId="0" borderId="1" xfId="60" applyFont="1" applyFill="1" applyBorder="1" applyAlignment="1">
      <alignment horizontal="center" vertical="center"/>
    </xf>
    <xf numFmtId="0" fontId="33" fillId="0" borderId="3" xfId="60" applyFont="1" applyFill="1" applyBorder="1" applyAlignment="1">
      <alignment horizontal="center" vertical="center"/>
    </xf>
    <xf numFmtId="4" fontId="19" fillId="0" borderId="0" xfId="60" applyNumberFormat="1" applyFont="1" applyFill="1" applyAlignment="1">
      <alignment vertical="center"/>
    </xf>
    <xf numFmtId="0" fontId="33" fillId="0" borderId="1" xfId="5" applyFont="1" applyBorder="1" applyAlignment="1">
      <alignment vertical="center"/>
    </xf>
    <xf numFmtId="4" fontId="33" fillId="0" borderId="1" xfId="5" applyNumberFormat="1" applyFont="1" applyBorder="1" applyAlignment="1">
      <alignment horizontal="right" vertical="center"/>
    </xf>
    <xf numFmtId="4" fontId="33" fillId="4" borderId="1" xfId="5" applyNumberFormat="1" applyFont="1" applyFill="1" applyBorder="1" applyAlignment="1">
      <alignment horizontal="right" vertical="center"/>
    </xf>
    <xf numFmtId="4" fontId="34" fillId="0" borderId="1" xfId="5" applyNumberFormat="1" applyFont="1" applyBorder="1" applyAlignment="1">
      <alignment vertical="center"/>
    </xf>
    <xf numFmtId="4" fontId="33" fillId="0" borderId="1" xfId="5" applyNumberFormat="1" applyFont="1" applyBorder="1" applyAlignment="1">
      <alignment horizontal="center" vertical="center"/>
    </xf>
    <xf numFmtId="4" fontId="33" fillId="0" borderId="1" xfId="5" applyNumberFormat="1" applyFont="1" applyBorder="1" applyAlignment="1">
      <alignment vertical="center"/>
    </xf>
    <xf numFmtId="4" fontId="34" fillId="0" borderId="1" xfId="5" applyNumberFormat="1" applyFont="1" applyFill="1" applyBorder="1" applyAlignment="1">
      <alignment vertical="center"/>
    </xf>
    <xf numFmtId="0" fontId="33" fillId="0" borderId="0" xfId="5" applyFont="1" applyBorder="1" applyAlignment="1">
      <alignment horizontal="center" vertical="center"/>
    </xf>
    <xf numFmtId="0" fontId="33" fillId="0" borderId="0" xfId="5" applyFont="1" applyBorder="1" applyAlignment="1">
      <alignment vertical="center"/>
    </xf>
    <xf numFmtId="0" fontId="33" fillId="0" borderId="0" xfId="5" applyFont="1" applyBorder="1" applyAlignment="1">
      <alignment horizontal="right" vertical="center"/>
    </xf>
    <xf numFmtId="4" fontId="33" fillId="0" borderId="0" xfId="5" applyNumberFormat="1" applyFont="1" applyBorder="1" applyAlignment="1">
      <alignment horizontal="right" vertical="center"/>
    </xf>
    <xf numFmtId="164" fontId="33" fillId="0" borderId="0" xfId="5" applyNumberFormat="1" applyFont="1" applyBorder="1" applyAlignment="1">
      <alignment horizontal="right" vertical="center"/>
    </xf>
    <xf numFmtId="0" fontId="33" fillId="4" borderId="0" xfId="5" applyFont="1" applyFill="1" applyBorder="1" applyAlignment="1">
      <alignment horizontal="right" vertical="center"/>
    </xf>
    <xf numFmtId="164" fontId="33" fillId="4" borderId="0" xfId="5" applyNumberFormat="1" applyFont="1" applyFill="1" applyBorder="1" applyAlignment="1">
      <alignment horizontal="right" vertical="center"/>
    </xf>
    <xf numFmtId="0" fontId="33" fillId="4" borderId="0" xfId="5" applyFont="1" applyFill="1" applyBorder="1" applyAlignment="1">
      <alignment vertical="center"/>
    </xf>
    <xf numFmtId="0" fontId="33" fillId="4" borderId="0" xfId="5" applyFont="1" applyFill="1" applyBorder="1" applyAlignment="1">
      <alignment horizontal="left" vertical="center"/>
    </xf>
    <xf numFmtId="165" fontId="33" fillId="0" borderId="0" xfId="16" applyFont="1" applyBorder="1" applyAlignment="1" applyProtection="1">
      <alignment vertical="center"/>
      <protection locked="0"/>
    </xf>
    <xf numFmtId="165" fontId="33" fillId="0" borderId="0" xfId="16" applyFont="1" applyBorder="1" applyAlignment="1" applyProtection="1">
      <alignment vertical="center" wrapText="1"/>
      <protection locked="0"/>
    </xf>
    <xf numFmtId="4" fontId="33" fillId="0" borderId="0" xfId="5" applyNumberFormat="1" applyFont="1" applyBorder="1" applyAlignment="1">
      <alignment vertical="center"/>
    </xf>
    <xf numFmtId="4" fontId="33" fillId="4" borderId="0" xfId="5" applyNumberFormat="1" applyFont="1" applyFill="1" applyBorder="1" applyAlignment="1">
      <alignment vertical="center"/>
    </xf>
    <xf numFmtId="4" fontId="112" fillId="0" borderId="0" xfId="5" applyNumberFormat="1" applyFont="1" applyBorder="1" applyAlignment="1">
      <alignment vertical="center"/>
    </xf>
    <xf numFmtId="0" fontId="57" fillId="0" borderId="0" xfId="0" applyFont="1" applyBorder="1" applyAlignment="1">
      <alignment vertical="center"/>
    </xf>
    <xf numFmtId="0" fontId="56" fillId="0" borderId="0" xfId="0" applyFont="1" applyBorder="1" applyAlignment="1">
      <alignment horizontal="right" vertical="center"/>
    </xf>
    <xf numFmtId="4" fontId="56" fillId="0" borderId="0" xfId="0" applyNumberFormat="1" applyFont="1" applyBorder="1" applyAlignment="1">
      <alignment horizontal="left" vertical="center"/>
    </xf>
    <xf numFmtId="4" fontId="56" fillId="0" borderId="0" xfId="0" applyNumberFormat="1" applyFont="1" applyBorder="1" applyAlignment="1">
      <alignment vertical="center"/>
    </xf>
    <xf numFmtId="0" fontId="113" fillId="0" borderId="0" xfId="0" applyFont="1" applyBorder="1" applyAlignment="1">
      <alignment horizontal="center" vertical="center"/>
    </xf>
    <xf numFmtId="0" fontId="33" fillId="0" borderId="0" xfId="5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53" fillId="0" borderId="0" xfId="5" applyFont="1" applyBorder="1" applyAlignment="1">
      <alignment vertical="center"/>
    </xf>
    <xf numFmtId="0" fontId="34" fillId="0" borderId="0" xfId="0" applyFont="1" applyFill="1" applyBorder="1" applyAlignment="1">
      <alignment horizontal="center" vertical="center"/>
    </xf>
    <xf numFmtId="0" fontId="74" fillId="0" borderId="0" xfId="12" applyFont="1" applyBorder="1" applyAlignment="1">
      <alignment vertical="center"/>
    </xf>
    <xf numFmtId="0" fontId="33" fillId="0" borderId="76" xfId="0" applyFont="1" applyFill="1" applyBorder="1" applyAlignment="1">
      <alignment horizontal="center" vertical="center"/>
    </xf>
    <xf numFmtId="4" fontId="34" fillId="0" borderId="44" xfId="0" applyNumberFormat="1" applyFont="1" applyFill="1" applyBorder="1" applyAlignment="1" applyProtection="1">
      <alignment horizontal="right" vertical="center"/>
      <protection locked="0"/>
    </xf>
    <xf numFmtId="0" fontId="33" fillId="0" borderId="81" xfId="0" applyFont="1" applyFill="1" applyBorder="1" applyAlignment="1">
      <alignment horizontal="center" vertical="center"/>
    </xf>
    <xf numFmtId="9" fontId="33" fillId="0" borderId="37" xfId="0" applyNumberFormat="1" applyFont="1" applyFill="1" applyBorder="1" applyAlignment="1" applyProtection="1">
      <alignment vertical="center" wrapText="1"/>
      <protection locked="0"/>
    </xf>
    <xf numFmtId="4" fontId="34" fillId="0" borderId="45" xfId="0" applyNumberFormat="1" applyFont="1" applyFill="1" applyBorder="1" applyAlignment="1" applyProtection="1">
      <alignment horizontal="right" vertical="center"/>
      <protection locked="0"/>
    </xf>
    <xf numFmtId="0" fontId="19" fillId="3" borderId="3" xfId="5" applyFont="1" applyFill="1" applyBorder="1" applyAlignment="1">
      <alignment horizontal="center" vertical="center" wrapText="1"/>
    </xf>
    <xf numFmtId="0" fontId="57" fillId="3" borderId="3" xfId="3" quotePrefix="1" applyFont="1" applyFill="1" applyBorder="1" applyAlignment="1">
      <alignment horizontal="center" vertical="center" wrapText="1"/>
    </xf>
    <xf numFmtId="0" fontId="56" fillId="0" borderId="3" xfId="3" quotePrefix="1" applyFont="1" applyBorder="1" applyAlignment="1">
      <alignment horizontal="left" vertical="center" wrapText="1"/>
    </xf>
    <xf numFmtId="0" fontId="11" fillId="0" borderId="0" xfId="5" applyFont="1" applyAlignment="1">
      <alignment horizontal="center" vertical="center"/>
    </xf>
    <xf numFmtId="2" fontId="11" fillId="0" borderId="0" xfId="13" applyNumberFormat="1" applyFont="1" applyBorder="1" applyAlignment="1" applyProtection="1">
      <alignment horizontal="center" vertical="center" wrapText="1"/>
      <protection locked="0"/>
    </xf>
    <xf numFmtId="0" fontId="11" fillId="0" borderId="0" xfId="13" applyFont="1" applyBorder="1" applyAlignment="1" applyProtection="1">
      <alignment horizontal="center" vertical="center" wrapText="1"/>
      <protection locked="0"/>
    </xf>
    <xf numFmtId="0" fontId="10" fillId="0" borderId="1" xfId="5" applyFont="1" applyBorder="1" applyAlignment="1">
      <alignment horizontal="center" vertical="center" wrapText="1"/>
    </xf>
    <xf numFmtId="0" fontId="10" fillId="0" borderId="39" xfId="5" applyFont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39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24" fillId="0" borderId="29" xfId="3" quotePrefix="1" applyFont="1" applyBorder="1" applyAlignment="1">
      <alignment horizontal="left" vertical="center" wrapText="1"/>
    </xf>
    <xf numFmtId="0" fontId="10" fillId="0" borderId="0" xfId="5" applyFont="1" applyAlignment="1">
      <alignment horizontal="center" vertical="center"/>
    </xf>
    <xf numFmtId="0" fontId="11" fillId="0" borderId="3" xfId="5" applyFont="1" applyFill="1" applyBorder="1" applyAlignment="1">
      <alignment horizontal="left" vertical="center" wrapText="1"/>
    </xf>
    <xf numFmtId="0" fontId="11" fillId="0" borderId="3" xfId="5" applyFont="1" applyBorder="1" applyAlignment="1">
      <alignment horizontal="right" vertical="center" wrapText="1"/>
    </xf>
    <xf numFmtId="0" fontId="98" fillId="0" borderId="0" xfId="3" quotePrefix="1" applyFont="1" applyBorder="1" applyAlignment="1">
      <alignment horizontal="left" vertical="center" wrapText="1"/>
    </xf>
    <xf numFmtId="0" fontId="31" fillId="0" borderId="7" xfId="5" applyFont="1" applyBorder="1" applyAlignment="1">
      <alignment horizontal="center" vertical="center" wrapText="1"/>
    </xf>
    <xf numFmtId="0" fontId="31" fillId="0" borderId="6" xfId="5" applyFont="1" applyBorder="1" applyAlignment="1">
      <alignment horizontal="center" vertical="center" wrapText="1"/>
    </xf>
    <xf numFmtId="0" fontId="102" fillId="0" borderId="3" xfId="5" applyFont="1" applyBorder="1" applyAlignment="1">
      <alignment horizontal="center" vertical="center"/>
    </xf>
    <xf numFmtId="0" fontId="31" fillId="0" borderId="49" xfId="5" applyFont="1" applyBorder="1" applyAlignment="1">
      <alignment horizontal="center" vertical="center" wrapText="1"/>
    </xf>
    <xf numFmtId="0" fontId="31" fillId="0" borderId="72" xfId="5" applyFont="1" applyBorder="1" applyAlignment="1">
      <alignment horizontal="center" vertical="center" wrapText="1"/>
    </xf>
    <xf numFmtId="0" fontId="34" fillId="0" borderId="3" xfId="5" applyFont="1" applyFill="1" applyBorder="1" applyAlignment="1">
      <alignment horizontal="left" vertical="center" wrapText="1"/>
    </xf>
    <xf numFmtId="0" fontId="33" fillId="0" borderId="0" xfId="5" applyFont="1" applyBorder="1" applyAlignment="1">
      <alignment horizontal="center" vertical="center"/>
    </xf>
    <xf numFmtId="2" fontId="76" fillId="0" borderId="0" xfId="13" applyNumberFormat="1" applyFont="1" applyBorder="1" applyAlignment="1" applyProtection="1">
      <alignment horizontal="center" vertical="center" wrapText="1"/>
      <protection locked="0"/>
    </xf>
    <xf numFmtId="0" fontId="34" fillId="0" borderId="8" xfId="15" applyFont="1" applyFill="1" applyBorder="1" applyAlignment="1">
      <alignment horizontal="left" vertical="center"/>
    </xf>
    <xf numFmtId="0" fontId="34" fillId="0" borderId="27" xfId="15" applyFont="1" applyFill="1" applyBorder="1" applyAlignment="1">
      <alignment horizontal="left" vertical="center"/>
    </xf>
    <xf numFmtId="0" fontId="34" fillId="0" borderId="18" xfId="15" applyFont="1" applyFill="1" applyBorder="1" applyAlignment="1">
      <alignment horizontal="left" vertical="center"/>
    </xf>
    <xf numFmtId="0" fontId="33" fillId="0" borderId="8" xfId="15" applyFont="1" applyFill="1" applyBorder="1" applyAlignment="1">
      <alignment horizontal="left" vertical="center" wrapText="1"/>
    </xf>
    <xf numFmtId="0" fontId="33" fillId="0" borderId="27" xfId="15" applyFont="1" applyFill="1" applyBorder="1" applyAlignment="1">
      <alignment horizontal="left" vertical="center" wrapText="1"/>
    </xf>
    <xf numFmtId="0" fontId="33" fillId="0" borderId="18" xfId="15" applyFont="1" applyFill="1" applyBorder="1" applyAlignment="1">
      <alignment horizontal="left" vertical="center" wrapText="1"/>
    </xf>
    <xf numFmtId="166" fontId="10" fillId="0" borderId="8" xfId="15" applyNumberFormat="1" applyFont="1" applyFill="1" applyBorder="1" applyAlignment="1" applyProtection="1">
      <alignment horizontal="left" vertical="center" wrapText="1"/>
      <protection locked="0"/>
    </xf>
    <xf numFmtId="166" fontId="10" fillId="0" borderId="27" xfId="15" applyNumberFormat="1" applyFont="1" applyFill="1" applyBorder="1" applyAlignment="1" applyProtection="1">
      <alignment horizontal="left" vertical="center" wrapText="1"/>
      <protection locked="0"/>
    </xf>
    <xf numFmtId="166" fontId="10" fillId="0" borderId="26" xfId="15" applyNumberFormat="1" applyFont="1" applyFill="1" applyBorder="1" applyAlignment="1" applyProtection="1">
      <alignment horizontal="left" vertical="center" wrapText="1"/>
      <protection locked="0"/>
    </xf>
    <xf numFmtId="0" fontId="33" fillId="0" borderId="29" xfId="0" applyFont="1" applyFill="1" applyBorder="1" applyAlignment="1">
      <alignment vertical="center" wrapText="1"/>
    </xf>
    <xf numFmtId="0" fontId="33" fillId="4" borderId="15" xfId="22" applyFont="1" applyFill="1" applyBorder="1" applyAlignment="1">
      <alignment horizontal="center" vertical="center" wrapText="1"/>
    </xf>
    <xf numFmtId="0" fontId="33" fillId="4" borderId="28" xfId="22" applyFont="1" applyFill="1" applyBorder="1" applyAlignment="1">
      <alignment horizontal="center" vertical="center" wrapText="1"/>
    </xf>
    <xf numFmtId="0" fontId="47" fillId="0" borderId="31" xfId="22" applyFont="1" applyFill="1" applyBorder="1" applyAlignment="1">
      <alignment horizontal="center" vertical="center" wrapText="1"/>
    </xf>
    <xf numFmtId="0" fontId="47" fillId="0" borderId="15" xfId="22" applyFont="1" applyFill="1" applyBorder="1" applyAlignment="1">
      <alignment horizontal="center" vertical="center" wrapText="1"/>
    </xf>
    <xf numFmtId="0" fontId="47" fillId="0" borderId="28" xfId="22" applyFont="1" applyFill="1" applyBorder="1" applyAlignment="1">
      <alignment horizontal="center" vertical="center" wrapText="1"/>
    </xf>
    <xf numFmtId="0" fontId="33" fillId="0" borderId="13" xfId="15" applyFont="1" applyBorder="1" applyAlignment="1" applyProtection="1">
      <alignment horizontal="center" vertical="center"/>
      <protection locked="0"/>
    </xf>
    <xf numFmtId="0" fontId="33" fillId="0" borderId="52" xfId="15" applyFont="1" applyBorder="1" applyAlignment="1" applyProtection="1">
      <alignment horizontal="center" vertical="center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0" borderId="15" xfId="0" applyFont="1" applyFill="1" applyBorder="1" applyAlignment="1">
      <alignment horizontal="center" vertical="center"/>
    </xf>
    <xf numFmtId="0" fontId="33" fillId="0" borderId="28" xfId="0" applyFont="1" applyFill="1" applyBorder="1" applyAlignment="1">
      <alignment horizontal="center" vertical="center"/>
    </xf>
    <xf numFmtId="0" fontId="33" fillId="4" borderId="13" xfId="22" applyFont="1" applyFill="1" applyBorder="1" applyAlignment="1">
      <alignment horizontal="center" vertical="center" wrapText="1"/>
    </xf>
    <xf numFmtId="0" fontId="33" fillId="4" borderId="52" xfId="22" applyFont="1" applyFill="1" applyBorder="1" applyAlignment="1">
      <alignment horizontal="center" vertical="center" wrapText="1"/>
    </xf>
    <xf numFmtId="0" fontId="34" fillId="0" borderId="10" xfId="15" applyFont="1" applyFill="1" applyBorder="1" applyAlignment="1">
      <alignment horizontal="center" vertical="center" wrapText="1"/>
    </xf>
    <xf numFmtId="0" fontId="34" fillId="0" borderId="27" xfId="15" applyFont="1" applyFill="1" applyBorder="1" applyAlignment="1">
      <alignment horizontal="center" vertical="center" wrapText="1"/>
    </xf>
    <xf numFmtId="0" fontId="34" fillId="0" borderId="26" xfId="15" applyFont="1" applyFill="1" applyBorder="1" applyAlignment="1">
      <alignment horizontal="center" vertical="center" wrapText="1"/>
    </xf>
    <xf numFmtId="0" fontId="34" fillId="0" borderId="28" xfId="0" applyFont="1" applyFill="1" applyBorder="1" applyAlignment="1" applyProtection="1">
      <alignment horizontal="center" vertical="center"/>
      <protection locked="0"/>
    </xf>
    <xf numFmtId="0" fontId="33" fillId="0" borderId="34" xfId="0" applyFont="1" applyFill="1" applyBorder="1" applyAlignment="1" applyProtection="1">
      <alignment horizontal="center" vertical="center"/>
      <protection locked="0"/>
    </xf>
    <xf numFmtId="0" fontId="33" fillId="0" borderId="35" xfId="0" applyFont="1" applyFill="1" applyBorder="1" applyAlignment="1" applyProtection="1">
      <alignment horizontal="center" vertical="center"/>
      <protection locked="0"/>
    </xf>
    <xf numFmtId="0" fontId="33" fillId="0" borderId="31" xfId="0" applyFont="1" applyFill="1" applyBorder="1" applyAlignment="1" applyProtection="1">
      <alignment horizontal="center" vertical="center"/>
      <protection locked="0"/>
    </xf>
    <xf numFmtId="0" fontId="33" fillId="0" borderId="32" xfId="0" applyFont="1" applyFill="1" applyBorder="1" applyAlignment="1" applyProtection="1">
      <alignment horizontal="center" vertical="center"/>
      <protection locked="0"/>
    </xf>
    <xf numFmtId="0" fontId="33" fillId="0" borderId="12" xfId="0" applyFont="1" applyFill="1" applyBorder="1" applyAlignment="1" applyProtection="1">
      <alignment horizontal="center" vertical="center"/>
      <protection locked="0"/>
    </xf>
    <xf numFmtId="0" fontId="33" fillId="0" borderId="13" xfId="0" applyFont="1" applyFill="1" applyBorder="1" applyAlignment="1" applyProtection="1">
      <alignment horizontal="center" vertical="center"/>
      <protection locked="0"/>
    </xf>
    <xf numFmtId="0" fontId="34" fillId="0" borderId="10" xfId="1" applyFont="1" applyFill="1" applyBorder="1" applyAlignment="1">
      <alignment horizontal="center" vertical="center"/>
    </xf>
    <xf numFmtId="0" fontId="34" fillId="0" borderId="27" xfId="1" applyFont="1" applyFill="1" applyBorder="1" applyAlignment="1">
      <alignment horizontal="center" vertical="center"/>
    </xf>
    <xf numFmtId="0" fontId="34" fillId="0" borderId="26" xfId="1" applyFont="1" applyFill="1" applyBorder="1" applyAlignment="1">
      <alignment horizontal="center" vertical="center"/>
    </xf>
    <xf numFmtId="0" fontId="33" fillId="0" borderId="15" xfId="22" applyFont="1" applyFill="1" applyBorder="1" applyAlignment="1">
      <alignment horizontal="center" vertical="center" wrapText="1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3" fillId="0" borderId="28" xfId="22" applyFont="1" applyFill="1" applyBorder="1" applyAlignment="1">
      <alignment horizontal="center" vertical="center" wrapText="1"/>
    </xf>
    <xf numFmtId="0" fontId="34" fillId="0" borderId="28" xfId="0" applyFont="1" applyFill="1" applyBorder="1" applyAlignment="1">
      <alignment horizontal="center" vertical="center"/>
    </xf>
    <xf numFmtId="0" fontId="34" fillId="0" borderId="34" xfId="0" applyFont="1" applyFill="1" applyBorder="1" applyAlignment="1">
      <alignment horizontal="center" vertical="center"/>
    </xf>
    <xf numFmtId="0" fontId="34" fillId="0" borderId="35" xfId="0" applyFont="1" applyFill="1" applyBorder="1" applyAlignment="1">
      <alignment horizontal="center" vertical="center"/>
    </xf>
    <xf numFmtId="0" fontId="34" fillId="0" borderId="8" xfId="0" applyFont="1" applyFill="1" applyBorder="1" applyAlignment="1" applyProtection="1">
      <alignment horizontal="center" vertical="center" wrapText="1"/>
      <protection locked="0"/>
    </xf>
    <xf numFmtId="0" fontId="34" fillId="0" borderId="27" xfId="0" applyFont="1" applyFill="1" applyBorder="1" applyAlignment="1" applyProtection="1">
      <alignment horizontal="center" vertical="center" wrapText="1"/>
      <protection locked="0"/>
    </xf>
    <xf numFmtId="0" fontId="34" fillId="0" borderId="26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2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0" fontId="31" fillId="0" borderId="10" xfId="0" applyFont="1" applyFill="1" applyBorder="1" applyAlignment="1" applyProtection="1">
      <alignment horizontal="center" vertical="center" wrapText="1"/>
      <protection locked="0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2" fontId="10" fillId="4" borderId="8" xfId="15" applyNumberFormat="1" applyFont="1" applyFill="1" applyBorder="1" applyAlignment="1" applyProtection="1">
      <alignment horizontal="left" vertical="center" wrapText="1"/>
      <protection locked="0"/>
    </xf>
    <xf numFmtId="2" fontId="10" fillId="4" borderId="18" xfId="15" applyNumberFormat="1" applyFont="1" applyFill="1" applyBorder="1" applyAlignment="1" applyProtection="1">
      <alignment horizontal="left" vertical="center" wrapText="1"/>
      <protection locked="0"/>
    </xf>
    <xf numFmtId="0" fontId="34" fillId="2" borderId="8" xfId="15" applyFont="1" applyFill="1" applyBorder="1" applyAlignment="1">
      <alignment horizontal="center" vertical="center" wrapText="1"/>
    </xf>
    <xf numFmtId="0" fontId="34" fillId="2" borderId="27" xfId="15" applyFont="1" applyFill="1" applyBorder="1" applyAlignment="1">
      <alignment horizontal="center" vertical="center" wrapText="1"/>
    </xf>
    <xf numFmtId="0" fontId="34" fillId="2" borderId="26" xfId="15" applyFont="1" applyFill="1" applyBorder="1" applyAlignment="1">
      <alignment horizontal="center" vertical="center" wrapText="1"/>
    </xf>
    <xf numFmtId="2" fontId="10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10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10" fillId="0" borderId="26" xfId="15" applyNumberFormat="1" applyFont="1" applyFill="1" applyBorder="1" applyAlignment="1" applyProtection="1">
      <alignment horizontal="center" vertical="center" wrapText="1"/>
      <protection locked="0"/>
    </xf>
    <xf numFmtId="2" fontId="10" fillId="2" borderId="8" xfId="15" applyNumberFormat="1" applyFont="1" applyFill="1" applyBorder="1" applyAlignment="1" applyProtection="1">
      <alignment horizontal="left" vertical="center" wrapText="1"/>
      <protection locked="0"/>
    </xf>
    <xf numFmtId="2" fontId="10" fillId="2" borderId="18" xfId="15" applyNumberFormat="1" applyFont="1" applyFill="1" applyBorder="1" applyAlignment="1" applyProtection="1">
      <alignment horizontal="left" vertical="center" wrapText="1"/>
      <protection locked="0"/>
    </xf>
    <xf numFmtId="0" fontId="34" fillId="0" borderId="0" xfId="37" applyFont="1" applyAlignment="1">
      <alignment horizontal="center" vertical="center"/>
    </xf>
    <xf numFmtId="0" fontId="33" fillId="0" borderId="0" xfId="37" applyFont="1" applyAlignment="1">
      <alignment horizontal="left" vertical="center"/>
    </xf>
    <xf numFmtId="0" fontId="19" fillId="0" borderId="63" xfId="37" applyFont="1" applyBorder="1" applyAlignment="1">
      <alignment horizontal="center" vertical="center" wrapText="1"/>
    </xf>
    <xf numFmtId="0" fontId="19" fillId="0" borderId="61" xfId="37" applyFont="1" applyBorder="1" applyAlignment="1">
      <alignment horizontal="center" vertical="center" wrapText="1"/>
    </xf>
    <xf numFmtId="0" fontId="33" fillId="0" borderId="3" xfId="37" applyFont="1" applyBorder="1" applyAlignment="1">
      <alignment horizontal="left" vertical="center" wrapText="1"/>
    </xf>
    <xf numFmtId="2" fontId="34" fillId="0" borderId="0" xfId="37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37" applyFont="1" applyFill="1" applyBorder="1" applyAlignment="1" applyProtection="1">
      <alignment horizontal="center" vertical="center" wrapText="1"/>
      <protection locked="0"/>
    </xf>
    <xf numFmtId="2" fontId="33" fillId="0" borderId="0" xfId="37" applyNumberFormat="1" applyFont="1" applyFill="1" applyBorder="1" applyAlignment="1" applyProtection="1">
      <alignment horizontal="center" vertical="center" wrapText="1"/>
      <protection locked="0"/>
    </xf>
    <xf numFmtId="4" fontId="33" fillId="0" borderId="67" xfId="37" applyNumberFormat="1" applyFont="1" applyBorder="1" applyAlignment="1">
      <alignment horizontal="center" vertical="center"/>
    </xf>
    <xf numFmtId="0" fontId="33" fillId="0" borderId="68" xfId="37" applyFont="1" applyBorder="1" applyAlignment="1">
      <alignment horizontal="center" vertical="center"/>
    </xf>
    <xf numFmtId="0" fontId="33" fillId="0" borderId="37" xfId="37" applyFont="1" applyBorder="1" applyAlignment="1">
      <alignment horizontal="left" vertical="center" wrapText="1"/>
    </xf>
    <xf numFmtId="0" fontId="59" fillId="0" borderId="23" xfId="37" applyFont="1" applyBorder="1" applyAlignment="1">
      <alignment horizontal="center" vertical="center" wrapText="1"/>
    </xf>
    <xf numFmtId="0" fontId="59" fillId="0" borderId="24" xfId="37" applyFont="1" applyBorder="1" applyAlignment="1">
      <alignment horizontal="center" vertical="center" wrapText="1"/>
    </xf>
    <xf numFmtId="0" fontId="19" fillId="0" borderId="62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166" fontId="33" fillId="0" borderId="6" xfId="37" applyNumberFormat="1" applyFont="1" applyBorder="1" applyAlignment="1">
      <alignment horizontal="center" vertical="center"/>
    </xf>
    <xf numFmtId="166" fontId="33" fillId="0" borderId="66" xfId="37" applyNumberFormat="1" applyFont="1" applyBorder="1" applyAlignment="1">
      <alignment horizontal="center" vertical="center"/>
    </xf>
    <xf numFmtId="166" fontId="33" fillId="0" borderId="3" xfId="37" applyNumberFormat="1" applyFont="1" applyBorder="1" applyAlignment="1">
      <alignment horizontal="center" vertical="center"/>
    </xf>
    <xf numFmtId="166" fontId="33" fillId="0" borderId="22" xfId="37" applyNumberFormat="1" applyFont="1" applyBorder="1" applyAlignment="1">
      <alignment horizontal="center" vertical="center"/>
    </xf>
    <xf numFmtId="166" fontId="10" fillId="0" borderId="37" xfId="37" applyNumberFormat="1" applyFont="1" applyBorder="1" applyAlignment="1">
      <alignment horizontal="center" vertical="center" wrapText="1"/>
    </xf>
    <xf numFmtId="0" fontId="33" fillId="0" borderId="6" xfId="37" applyFont="1" applyBorder="1" applyAlignment="1">
      <alignment horizontal="left" vertical="center" wrapText="1"/>
    </xf>
    <xf numFmtId="0" fontId="19" fillId="0" borderId="46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33" fillId="0" borderId="70" xfId="15" applyFont="1" applyBorder="1" applyAlignment="1">
      <alignment horizontal="center" vertical="center" wrapText="1"/>
    </xf>
    <xf numFmtId="0" fontId="33" fillId="0" borderId="14" xfId="15" applyFont="1" applyBorder="1" applyAlignment="1">
      <alignment horizontal="center" vertical="center" wrapText="1"/>
    </xf>
    <xf numFmtId="0" fontId="33" fillId="0" borderId="7" xfId="15" applyFont="1" applyFill="1" applyBorder="1" applyAlignment="1">
      <alignment horizontal="left" vertical="center" wrapText="1"/>
    </xf>
    <xf numFmtId="0" fontId="33" fillId="0" borderId="6" xfId="15" applyFont="1" applyFill="1" applyBorder="1" applyAlignment="1">
      <alignment horizontal="left" vertical="center" wrapText="1"/>
    </xf>
    <xf numFmtId="0" fontId="33" fillId="0" borderId="7" xfId="15" applyFont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3" fontId="33" fillId="0" borderId="6" xfId="15" applyNumberFormat="1" applyFont="1" applyBorder="1" applyAlignment="1">
      <alignment horizontal="center" vertical="center" wrapText="1"/>
    </xf>
    <xf numFmtId="0" fontId="31" fillId="0" borderId="8" xfId="15" quotePrefix="1" applyFont="1" applyFill="1" applyBorder="1" applyAlignment="1" applyProtection="1">
      <alignment horizontal="center" vertical="center" wrapText="1"/>
      <protection hidden="1"/>
    </xf>
    <xf numFmtId="0" fontId="31" fillId="0" borderId="18" xfId="15" quotePrefix="1" applyFont="1" applyFill="1" applyBorder="1" applyAlignment="1" applyProtection="1">
      <alignment horizontal="center" vertical="center" wrapText="1"/>
      <protection hidden="1"/>
    </xf>
    <xf numFmtId="0" fontId="33" fillId="0" borderId="1" xfId="15" applyFont="1" applyFill="1" applyBorder="1" applyAlignment="1" applyProtection="1">
      <alignment horizontal="center" vertical="top" wrapText="1"/>
      <protection locked="0"/>
    </xf>
    <xf numFmtId="0" fontId="33" fillId="0" borderId="39" xfId="15" applyFont="1" applyFill="1" applyBorder="1" applyAlignment="1" applyProtection="1">
      <alignment horizontal="center" vertical="top" wrapText="1"/>
      <protection locked="0"/>
    </xf>
    <xf numFmtId="0" fontId="33" fillId="0" borderId="2" xfId="15" applyFont="1" applyFill="1" applyBorder="1" applyAlignment="1" applyProtection="1">
      <alignment horizontal="center" vertical="top" wrapText="1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3" fillId="0" borderId="0" xfId="15" applyNumberFormat="1" applyFont="1" applyBorder="1" applyAlignment="1" applyProtection="1">
      <alignment horizontal="center" vertical="center" wrapText="1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0" fontId="33" fillId="4" borderId="70" xfId="15" applyFont="1" applyFill="1" applyBorder="1" applyAlignment="1">
      <alignment horizontal="center" vertical="center" wrapText="1"/>
    </xf>
    <xf numFmtId="0" fontId="33" fillId="4" borderId="14" xfId="15" applyFont="1" applyFill="1" applyBorder="1" applyAlignment="1">
      <alignment horizontal="center" vertical="center" wrapText="1"/>
    </xf>
    <xf numFmtId="0" fontId="33" fillId="4" borderId="7" xfId="15" applyFont="1" applyFill="1" applyBorder="1" applyAlignment="1">
      <alignment horizontal="left" vertical="center" wrapText="1"/>
    </xf>
    <xf numFmtId="0" fontId="33" fillId="4" borderId="6" xfId="15" applyFont="1" applyFill="1" applyBorder="1" applyAlignment="1">
      <alignment horizontal="left" vertical="center" wrapText="1"/>
    </xf>
    <xf numFmtId="0" fontId="33" fillId="4" borderId="7" xfId="15" applyFont="1" applyFill="1" applyBorder="1" applyAlignment="1">
      <alignment horizontal="center" vertical="center" wrapText="1"/>
    </xf>
    <xf numFmtId="0" fontId="33" fillId="4" borderId="6" xfId="15" applyFont="1" applyFill="1" applyBorder="1" applyAlignment="1">
      <alignment horizontal="center" vertical="center" wrapText="1"/>
    </xf>
    <xf numFmtId="3" fontId="33" fillId="4" borderId="7" xfId="15" applyNumberFormat="1" applyFont="1" applyFill="1" applyBorder="1" applyAlignment="1">
      <alignment horizontal="center" vertical="center" wrapText="1"/>
    </xf>
    <xf numFmtId="3" fontId="33" fillId="4" borderId="6" xfId="15" applyNumberFormat="1" applyFont="1" applyFill="1" applyBorder="1" applyAlignment="1">
      <alignment horizontal="center" vertical="center" wrapText="1"/>
    </xf>
    <xf numFmtId="0" fontId="55" fillId="0" borderId="1" xfId="15" applyFont="1" applyFill="1" applyBorder="1" applyAlignment="1" applyProtection="1">
      <alignment horizontal="center" vertical="top" wrapText="1"/>
      <protection locked="0"/>
    </xf>
    <xf numFmtId="0" fontId="55" fillId="0" borderId="39" xfId="15" applyFont="1" applyFill="1" applyBorder="1" applyAlignment="1" applyProtection="1">
      <alignment horizontal="center" vertical="top" wrapText="1"/>
      <protection locked="0"/>
    </xf>
    <xf numFmtId="0" fontId="55" fillId="0" borderId="2" xfId="15" applyFont="1" applyFill="1" applyBorder="1" applyAlignment="1" applyProtection="1">
      <alignment horizontal="center" vertical="top" wrapText="1"/>
      <protection locked="0"/>
    </xf>
    <xf numFmtId="0" fontId="34" fillId="0" borderId="3" xfId="15" applyFont="1" applyBorder="1" applyAlignment="1" applyProtection="1">
      <alignment horizontal="left" vertical="center" wrapText="1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1" fillId="0" borderId="3" xfId="15" applyFont="1" applyBorder="1" applyAlignment="1" applyProtection="1">
      <alignment horizontal="center" vertical="center" wrapText="1"/>
      <protection locked="0"/>
    </xf>
    <xf numFmtId="0" fontId="34" fillId="0" borderId="3" xfId="0" applyFont="1" applyFill="1" applyBorder="1" applyAlignment="1" applyProtection="1">
      <alignment horizontal="left" vertical="center" wrapText="1"/>
      <protection locked="0"/>
    </xf>
    <xf numFmtId="0" fontId="33" fillId="0" borderId="3" xfId="15" applyFont="1" applyBorder="1" applyAlignment="1" applyProtection="1">
      <alignment horizontal="left" vertical="center" wrapText="1"/>
      <protection locked="0"/>
    </xf>
    <xf numFmtId="0" fontId="33" fillId="0" borderId="77" xfId="0" applyFont="1" applyFill="1" applyBorder="1" applyAlignment="1" applyProtection="1">
      <alignment horizontal="left" vertical="center" wrapText="1"/>
      <protection locked="0"/>
    </xf>
    <xf numFmtId="0" fontId="33" fillId="0" borderId="80" xfId="0" applyFont="1" applyFill="1" applyBorder="1" applyAlignment="1" applyProtection="1">
      <alignment horizontal="left" vertical="center" wrapText="1"/>
      <protection locked="0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4" fontId="33" fillId="0" borderId="42" xfId="0" applyNumberFormat="1" applyFont="1" applyFill="1" applyBorder="1" applyAlignment="1" applyProtection="1">
      <alignment horizontal="right" vertical="center"/>
      <protection locked="0"/>
    </xf>
    <xf numFmtId="4" fontId="33" fillId="0" borderId="36" xfId="0" applyNumberFormat="1" applyFont="1" applyFill="1" applyBorder="1" applyAlignment="1" applyProtection="1">
      <alignment horizontal="right" vertical="center"/>
      <protection locked="0"/>
    </xf>
    <xf numFmtId="4" fontId="33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9" xfId="0" applyFont="1" applyFill="1" applyBorder="1" applyAlignment="1">
      <alignment horizontal="center"/>
    </xf>
    <xf numFmtId="0" fontId="33" fillId="0" borderId="50" xfId="0" applyFont="1" applyFill="1" applyBorder="1" applyAlignment="1">
      <alignment horizontal="center"/>
    </xf>
    <xf numFmtId="0" fontId="34" fillId="0" borderId="8" xfId="0" applyFont="1" applyFill="1" applyBorder="1" applyAlignment="1" applyProtection="1">
      <alignment horizontal="left" vertical="center" wrapText="1"/>
      <protection locked="0"/>
    </xf>
    <xf numFmtId="0" fontId="34" fillId="0" borderId="27" xfId="0" applyFont="1" applyFill="1" applyBorder="1" applyAlignment="1" applyProtection="1">
      <alignment horizontal="left" vertical="center" wrapText="1"/>
      <protection locked="0"/>
    </xf>
    <xf numFmtId="2" fontId="34" fillId="0" borderId="0" xfId="0" applyNumberFormat="1" applyFont="1" applyBorder="1" applyAlignment="1" applyProtection="1">
      <alignment horizontal="center" vertical="center" wrapText="1"/>
      <protection locked="0"/>
    </xf>
    <xf numFmtId="2" fontId="33" fillId="0" borderId="0" xfId="0" applyNumberFormat="1" applyFont="1" applyBorder="1" applyAlignment="1" applyProtection="1">
      <alignment horizontal="center" vertical="center" wrapText="1"/>
      <protection locked="0"/>
    </xf>
    <xf numFmtId="2" fontId="33" fillId="0" borderId="31" xfId="0" applyNumberFormat="1" applyFont="1" applyBorder="1" applyAlignment="1">
      <alignment horizontal="center" vertical="center" wrapText="1"/>
    </xf>
    <xf numFmtId="2" fontId="33" fillId="0" borderId="32" xfId="0" applyNumberFormat="1" applyFont="1" applyBorder="1" applyAlignment="1">
      <alignment horizontal="center" vertical="center" wrapText="1"/>
    </xf>
    <xf numFmtId="2" fontId="33" fillId="0" borderId="12" xfId="0" applyNumberFormat="1" applyFont="1" applyBorder="1" applyAlignment="1">
      <alignment horizontal="center" vertical="center" wrapText="1"/>
    </xf>
    <xf numFmtId="0" fontId="34" fillId="0" borderId="8" xfId="0" applyFont="1" applyBorder="1" applyAlignment="1" applyProtection="1">
      <alignment horizontal="left" vertical="center" wrapText="1"/>
      <protection locked="0"/>
    </xf>
    <xf numFmtId="0" fontId="34" fillId="0" borderId="27" xfId="0" applyFont="1" applyBorder="1" applyAlignment="1" applyProtection="1">
      <alignment horizontal="left" vertical="center" wrapText="1"/>
      <protection locked="0"/>
    </xf>
    <xf numFmtId="0" fontId="34" fillId="0" borderId="18" xfId="0" applyFont="1" applyBorder="1" applyAlignment="1" applyProtection="1">
      <alignment horizontal="left" vertical="center" wrapText="1"/>
      <protection locked="0"/>
    </xf>
    <xf numFmtId="2" fontId="11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11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11" fillId="0" borderId="26" xfId="15" applyNumberFormat="1" applyFont="1" applyFill="1" applyBorder="1" applyAlignment="1" applyProtection="1">
      <alignment horizontal="center" vertical="center" wrapText="1"/>
      <protection locked="0"/>
    </xf>
    <xf numFmtId="2" fontId="34" fillId="0" borderId="8" xfId="15" applyNumberFormat="1" applyFont="1" applyBorder="1" applyAlignment="1" applyProtection="1">
      <alignment horizontal="left" vertical="center" wrapText="1"/>
      <protection locked="0"/>
    </xf>
    <xf numFmtId="2" fontId="34" fillId="0" borderId="27" xfId="15" applyNumberFormat="1" applyFont="1" applyBorder="1" applyAlignment="1" applyProtection="1">
      <alignment horizontal="left" vertical="center" wrapText="1"/>
      <protection locked="0"/>
    </xf>
    <xf numFmtId="2" fontId="34" fillId="0" borderId="18" xfId="15" applyNumberFormat="1" applyFont="1" applyBorder="1" applyAlignment="1" applyProtection="1">
      <alignment horizontal="left" vertical="center" wrapText="1"/>
      <protection locked="0"/>
    </xf>
    <xf numFmtId="0" fontId="33" fillId="0" borderId="69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center" vertical="center"/>
    </xf>
    <xf numFmtId="0" fontId="33" fillId="0" borderId="52" xfId="0" applyFont="1" applyFill="1" applyBorder="1" applyAlignment="1">
      <alignment horizontal="center" vertical="center"/>
    </xf>
    <xf numFmtId="0" fontId="54" fillId="0" borderId="4" xfId="15" applyFont="1" applyBorder="1" applyAlignment="1" applyProtection="1">
      <alignment horizontal="left" vertical="center" wrapText="1"/>
      <protection locked="0"/>
    </xf>
    <xf numFmtId="0" fontId="54" fillId="0" borderId="17" xfId="15" applyFont="1" applyBorder="1" applyAlignment="1" applyProtection="1">
      <alignment horizontal="left" vertical="center" wrapText="1"/>
      <protection locked="0"/>
    </xf>
    <xf numFmtId="0" fontId="34" fillId="0" borderId="10" xfId="15" applyFont="1" applyFill="1" applyBorder="1" applyAlignment="1" applyProtection="1">
      <alignment horizontal="center" vertical="center"/>
      <protection locked="0"/>
    </xf>
    <xf numFmtId="0" fontId="34" fillId="0" borderId="27" xfId="15" applyFont="1" applyFill="1" applyBorder="1" applyAlignment="1" applyProtection="1">
      <alignment horizontal="center" vertical="center"/>
      <protection locked="0"/>
    </xf>
    <xf numFmtId="0" fontId="34" fillId="0" borderId="26" xfId="15" applyFont="1" applyFill="1" applyBorder="1" applyAlignment="1" applyProtection="1">
      <alignment horizontal="center" vertical="center"/>
      <protection locked="0"/>
    </xf>
    <xf numFmtId="0" fontId="33" fillId="0" borderId="69" xfId="15" applyFont="1" applyFill="1" applyBorder="1" applyAlignment="1" applyProtection="1">
      <alignment horizontal="center" vertical="center"/>
      <protection locked="0"/>
    </xf>
    <xf numFmtId="0" fontId="33" fillId="0" borderId="13" xfId="15" applyFont="1" applyFill="1" applyBorder="1" applyAlignment="1" applyProtection="1">
      <alignment horizontal="center" vertical="center"/>
      <protection locked="0"/>
    </xf>
    <xf numFmtId="0" fontId="34" fillId="0" borderId="53" xfId="0" applyFont="1" applyBorder="1" applyAlignment="1" applyProtection="1">
      <alignment horizontal="center" vertical="center" wrapText="1"/>
      <protection locked="0"/>
    </xf>
    <xf numFmtId="0" fontId="34" fillId="0" borderId="54" xfId="0" applyFont="1" applyBorder="1" applyAlignment="1" applyProtection="1">
      <alignment horizontal="center" vertical="center" wrapText="1"/>
      <protection locked="0"/>
    </xf>
    <xf numFmtId="0" fontId="34" fillId="0" borderId="55" xfId="0" applyFont="1" applyBorder="1" applyAlignment="1" applyProtection="1">
      <alignment horizontal="center" vertical="center" wrapText="1"/>
      <protection locked="0"/>
    </xf>
    <xf numFmtId="0" fontId="33" fillId="0" borderId="70" xfId="0" applyFont="1" applyBorder="1" applyAlignment="1" applyProtection="1">
      <alignment horizontal="center" vertical="center"/>
      <protection locked="0"/>
    </xf>
    <xf numFmtId="0" fontId="33" fillId="0" borderId="13" xfId="0" applyFont="1" applyBorder="1" applyAlignment="1" applyProtection="1">
      <alignment horizontal="center" vertical="center"/>
      <protection locked="0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33" xfId="0" applyFont="1" applyBorder="1" applyAlignment="1" applyProtection="1">
      <alignment horizontal="center" vertical="center"/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2" fontId="34" fillId="0" borderId="10" xfId="0" applyNumberFormat="1" applyFont="1" applyFill="1" applyBorder="1" applyAlignment="1" applyProtection="1">
      <alignment horizontal="center" vertical="center"/>
      <protection locked="0"/>
    </xf>
    <xf numFmtId="2" fontId="34" fillId="0" borderId="27" xfId="0" applyNumberFormat="1" applyFont="1" applyFill="1" applyBorder="1" applyAlignment="1" applyProtection="1">
      <alignment horizontal="center" vertical="center"/>
      <protection locked="0"/>
    </xf>
    <xf numFmtId="2" fontId="34" fillId="0" borderId="26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16" fontId="34" fillId="0" borderId="0" xfId="0" applyNumberFormat="1" applyFont="1" applyAlignment="1">
      <alignment horizontal="center" vertical="center"/>
    </xf>
    <xf numFmtId="0" fontId="33" fillId="0" borderId="31" xfId="0" applyFont="1" applyBorder="1" applyAlignment="1" applyProtection="1">
      <alignment horizontal="center" vertical="center"/>
      <protection locked="0"/>
    </xf>
    <xf numFmtId="0" fontId="33" fillId="0" borderId="32" xfId="0" applyFont="1" applyBorder="1" applyAlignment="1" applyProtection="1">
      <alignment horizontal="center" vertical="center"/>
      <protection locked="0"/>
    </xf>
    <xf numFmtId="0" fontId="33" fillId="0" borderId="12" xfId="0" applyFont="1" applyBorder="1" applyAlignment="1" applyProtection="1">
      <alignment horizontal="center" vertical="center"/>
      <protection locked="0"/>
    </xf>
    <xf numFmtId="2" fontId="34" fillId="0" borderId="8" xfId="26" applyNumberFormat="1" applyFont="1" applyFill="1" applyBorder="1" applyAlignment="1" applyProtection="1">
      <alignment horizontal="left" vertical="center" wrapText="1"/>
      <protection locked="0"/>
    </xf>
    <xf numFmtId="2" fontId="34" fillId="0" borderId="27" xfId="26" applyNumberFormat="1" applyFont="1" applyFill="1" applyBorder="1" applyAlignment="1" applyProtection="1">
      <alignment horizontal="left" vertical="center" wrapText="1"/>
      <protection locked="0"/>
    </xf>
    <xf numFmtId="0" fontId="55" fillId="4" borderId="49" xfId="26" applyFont="1" applyFill="1" applyBorder="1" applyAlignment="1">
      <alignment horizontal="left" vertical="center"/>
    </xf>
    <xf numFmtId="0" fontId="55" fillId="4" borderId="51" xfId="26" applyFont="1" applyFill="1" applyBorder="1" applyAlignment="1">
      <alignment horizontal="left" vertical="center"/>
    </xf>
    <xf numFmtId="0" fontId="55" fillId="4" borderId="50" xfId="26" applyFont="1" applyFill="1" applyBorder="1" applyAlignment="1">
      <alignment horizontal="left" vertical="center"/>
    </xf>
    <xf numFmtId="0" fontId="55" fillId="4" borderId="43" xfId="26" applyFont="1" applyFill="1" applyBorder="1" applyAlignment="1">
      <alignment horizontal="left" vertical="center"/>
    </xf>
    <xf numFmtId="0" fontId="55" fillId="4" borderId="0" xfId="26" applyFont="1" applyFill="1" applyBorder="1" applyAlignment="1">
      <alignment horizontal="left" vertical="center"/>
    </xf>
    <xf numFmtId="0" fontId="55" fillId="4" borderId="47" xfId="26" applyFont="1" applyFill="1" applyBorder="1" applyAlignment="1">
      <alignment horizontal="left" vertical="center"/>
    </xf>
    <xf numFmtId="0" fontId="55" fillId="4" borderId="72" xfId="26" applyFont="1" applyFill="1" applyBorder="1" applyAlignment="1">
      <alignment horizontal="left" vertical="center"/>
    </xf>
    <xf numFmtId="0" fontId="55" fillId="4" borderId="29" xfId="26" applyFont="1" applyFill="1" applyBorder="1" applyAlignment="1">
      <alignment horizontal="left" vertical="center"/>
    </xf>
    <xf numFmtId="0" fontId="55" fillId="4" borderId="16" xfId="26" applyFont="1" applyFill="1" applyBorder="1" applyAlignment="1">
      <alignment horizontal="left" vertical="center"/>
    </xf>
    <xf numFmtId="0" fontId="33" fillId="3" borderId="49" xfId="26" applyFont="1" applyFill="1" applyBorder="1" applyAlignment="1">
      <alignment horizontal="left" vertical="center"/>
    </xf>
    <xf numFmtId="0" fontId="33" fillId="3" borderId="51" xfId="26" applyFont="1" applyFill="1" applyBorder="1" applyAlignment="1">
      <alignment horizontal="left" vertical="center"/>
    </xf>
    <xf numFmtId="0" fontId="33" fillId="3" borderId="50" xfId="26" applyFont="1" applyFill="1" applyBorder="1" applyAlignment="1">
      <alignment horizontal="left" vertical="center"/>
    </xf>
    <xf numFmtId="0" fontId="33" fillId="3" borderId="43" xfId="26" applyFont="1" applyFill="1" applyBorder="1" applyAlignment="1">
      <alignment horizontal="left" vertical="center"/>
    </xf>
    <xf numFmtId="0" fontId="33" fillId="3" borderId="0" xfId="26" applyFont="1" applyFill="1" applyBorder="1" applyAlignment="1">
      <alignment horizontal="left" vertical="center"/>
    </xf>
    <xf numFmtId="0" fontId="33" fillId="3" borderId="47" xfId="26" applyFont="1" applyFill="1" applyBorder="1" applyAlignment="1">
      <alignment horizontal="left" vertical="center"/>
    </xf>
    <xf numFmtId="0" fontId="33" fillId="3" borderId="72" xfId="26" applyFont="1" applyFill="1" applyBorder="1" applyAlignment="1">
      <alignment horizontal="left" vertical="center"/>
    </xf>
    <xf numFmtId="0" fontId="33" fillId="3" borderId="29" xfId="26" applyFont="1" applyFill="1" applyBorder="1" applyAlignment="1">
      <alignment horizontal="left" vertical="center"/>
    </xf>
    <xf numFmtId="0" fontId="33" fillId="3" borderId="16" xfId="26" applyFont="1" applyFill="1" applyBorder="1" applyAlignment="1">
      <alignment horizontal="left" vertical="center"/>
    </xf>
    <xf numFmtId="0" fontId="74" fillId="0" borderId="49" xfId="26" applyFont="1" applyFill="1" applyBorder="1" applyAlignment="1">
      <alignment horizontal="left" vertical="center" wrapText="1"/>
    </xf>
    <xf numFmtId="0" fontId="74" fillId="0" borderId="51" xfId="26" applyFont="1" applyFill="1" applyBorder="1" applyAlignment="1">
      <alignment horizontal="left" vertical="center" wrapText="1"/>
    </xf>
    <xf numFmtId="0" fontId="74" fillId="0" borderId="50" xfId="26" applyFont="1" applyFill="1" applyBorder="1" applyAlignment="1">
      <alignment horizontal="left" vertical="center" wrapText="1"/>
    </xf>
    <xf numFmtId="0" fontId="74" fillId="0" borderId="72" xfId="26" applyFont="1" applyFill="1" applyBorder="1" applyAlignment="1">
      <alignment horizontal="left" vertical="center" wrapText="1"/>
    </xf>
    <xf numFmtId="0" fontId="74" fillId="0" borderId="29" xfId="26" applyFont="1" applyFill="1" applyBorder="1" applyAlignment="1">
      <alignment horizontal="left" vertical="center" wrapText="1"/>
    </xf>
    <xf numFmtId="0" fontId="74" fillId="0" borderId="16" xfId="26" applyFont="1" applyFill="1" applyBorder="1" applyAlignment="1">
      <alignment horizontal="left" vertical="center" wrapText="1"/>
    </xf>
    <xf numFmtId="0" fontId="74" fillId="0" borderId="7" xfId="26" applyFont="1" applyFill="1" applyBorder="1" applyAlignment="1">
      <alignment horizontal="left" vertical="center"/>
    </xf>
    <xf numFmtId="0" fontId="74" fillId="0" borderId="6" xfId="26" applyFont="1" applyFill="1" applyBorder="1" applyAlignment="1">
      <alignment horizontal="left" vertical="center"/>
    </xf>
    <xf numFmtId="0" fontId="77" fillId="0" borderId="7" xfId="26" applyFont="1" applyFill="1" applyBorder="1" applyAlignment="1">
      <alignment horizontal="left" vertical="center"/>
    </xf>
    <xf numFmtId="0" fontId="77" fillId="0" borderId="6" xfId="26" applyFont="1" applyFill="1" applyBorder="1" applyAlignment="1">
      <alignment horizontal="left" vertical="center"/>
    </xf>
    <xf numFmtId="3" fontId="77" fillId="0" borderId="7" xfId="26" applyNumberFormat="1" applyFont="1" applyFill="1" applyBorder="1" applyAlignment="1">
      <alignment horizontal="right" vertical="center"/>
    </xf>
    <xf numFmtId="3" fontId="77" fillId="0" borderId="6" xfId="26" applyNumberFormat="1" applyFont="1" applyFill="1" applyBorder="1" applyAlignment="1">
      <alignment horizontal="right" vertical="center"/>
    </xf>
    <xf numFmtId="0" fontId="74" fillId="0" borderId="15" xfId="26" applyFont="1" applyFill="1" applyBorder="1" applyAlignment="1">
      <alignment horizontal="center" vertical="center"/>
    </xf>
    <xf numFmtId="0" fontId="74" fillId="0" borderId="28" xfId="26" applyFont="1" applyFill="1" applyBorder="1" applyAlignment="1">
      <alignment horizontal="center" vertical="center"/>
    </xf>
    <xf numFmtId="0" fontId="74" fillId="0" borderId="1" xfId="26" applyFont="1" applyFill="1" applyBorder="1" applyAlignment="1">
      <alignment horizontal="left" vertical="center"/>
    </xf>
    <xf numFmtId="0" fontId="74" fillId="0" borderId="39" xfId="26" applyFont="1" applyFill="1" applyBorder="1" applyAlignment="1">
      <alignment horizontal="left" vertical="center"/>
    </xf>
    <xf numFmtId="0" fontId="74" fillId="0" borderId="1" xfId="26" applyFont="1" applyFill="1" applyBorder="1" applyAlignment="1">
      <alignment horizontal="left" vertical="center" wrapText="1"/>
    </xf>
    <xf numFmtId="0" fontId="74" fillId="0" borderId="39" xfId="26" applyFont="1" applyFill="1" applyBorder="1" applyAlignment="1">
      <alignment horizontal="left" vertical="center" wrapText="1"/>
    </xf>
    <xf numFmtId="0" fontId="74" fillId="0" borderId="1" xfId="26" applyFont="1" applyFill="1" applyBorder="1" applyAlignment="1">
      <alignment wrapText="1"/>
    </xf>
    <xf numFmtId="0" fontId="74" fillId="0" borderId="39" xfId="26" applyFont="1" applyFill="1" applyBorder="1" applyAlignment="1">
      <alignment wrapText="1"/>
    </xf>
    <xf numFmtId="0" fontId="74" fillId="0" borderId="2" xfId="26" applyFont="1" applyFill="1" applyBorder="1" applyAlignment="1">
      <alignment wrapText="1"/>
    </xf>
    <xf numFmtId="0" fontId="74" fillId="0" borderId="31" xfId="26" applyFont="1" applyFill="1" applyBorder="1" applyAlignment="1">
      <alignment horizontal="center" vertical="center"/>
    </xf>
    <xf numFmtId="0" fontId="74" fillId="0" borderId="13" xfId="26" applyFont="1" applyFill="1" applyBorder="1" applyAlignment="1">
      <alignment horizontal="center" vertical="center"/>
    </xf>
    <xf numFmtId="0" fontId="74" fillId="0" borderId="52" xfId="26" applyFont="1" applyFill="1" applyBorder="1" applyAlignment="1">
      <alignment horizontal="center" vertical="center"/>
    </xf>
    <xf numFmtId="0" fontId="74" fillId="0" borderId="43" xfId="26" applyFont="1" applyFill="1" applyBorder="1" applyAlignment="1">
      <alignment horizontal="left" vertical="center" wrapText="1"/>
    </xf>
    <xf numFmtId="0" fontId="74" fillId="0" borderId="0" xfId="26" applyFont="1" applyFill="1" applyBorder="1" applyAlignment="1">
      <alignment horizontal="left" vertical="center" wrapText="1"/>
    </xf>
    <xf numFmtId="0" fontId="74" fillId="0" borderId="47" xfId="26" applyFont="1" applyFill="1" applyBorder="1" applyAlignment="1">
      <alignment horizontal="left" vertical="center" wrapText="1"/>
    </xf>
    <xf numFmtId="0" fontId="33" fillId="3" borderId="49" xfId="26" applyFont="1" applyFill="1" applyBorder="1" applyAlignment="1">
      <alignment horizontal="left" vertical="center" wrapText="1"/>
    </xf>
    <xf numFmtId="0" fontId="33" fillId="3" borderId="51" xfId="26" applyFont="1" applyFill="1" applyBorder="1" applyAlignment="1">
      <alignment horizontal="left" vertical="center" wrapText="1"/>
    </xf>
    <xf numFmtId="0" fontId="33" fillId="3" borderId="50" xfId="26" applyFont="1" applyFill="1" applyBorder="1" applyAlignment="1">
      <alignment horizontal="left" vertical="center" wrapText="1"/>
    </xf>
    <xf numFmtId="0" fontId="33" fillId="3" borderId="43" xfId="26" applyFont="1" applyFill="1" applyBorder="1" applyAlignment="1">
      <alignment horizontal="left" vertical="center" wrapText="1"/>
    </xf>
    <xf numFmtId="0" fontId="33" fillId="3" borderId="0" xfId="26" applyFont="1" applyFill="1" applyBorder="1" applyAlignment="1">
      <alignment horizontal="left" vertical="center" wrapText="1"/>
    </xf>
    <xf numFmtId="0" fontId="33" fillId="3" borderId="47" xfId="26" applyFont="1" applyFill="1" applyBorder="1" applyAlignment="1">
      <alignment horizontal="left" vertical="center" wrapText="1"/>
    </xf>
    <xf numFmtId="0" fontId="33" fillId="3" borderId="72" xfId="26" applyFont="1" applyFill="1" applyBorder="1" applyAlignment="1">
      <alignment horizontal="left" vertical="center" wrapText="1"/>
    </xf>
    <xf numFmtId="0" fontId="33" fillId="3" borderId="29" xfId="26" applyFont="1" applyFill="1" applyBorder="1" applyAlignment="1">
      <alignment horizontal="left" vertical="center" wrapText="1"/>
    </xf>
    <xf numFmtId="0" fontId="33" fillId="3" borderId="16" xfId="26" applyFont="1" applyFill="1" applyBorder="1" applyAlignment="1">
      <alignment horizontal="left" vertical="center" wrapText="1"/>
    </xf>
    <xf numFmtId="0" fontId="74" fillId="3" borderId="1" xfId="26" applyFont="1" applyFill="1" applyBorder="1" applyAlignment="1">
      <alignment horizontal="left" vertical="center" wrapText="1"/>
    </xf>
    <xf numFmtId="0" fontId="74" fillId="3" borderId="39" xfId="26" applyFont="1" applyFill="1" applyBorder="1" applyAlignment="1">
      <alignment horizontal="left" vertical="center" wrapText="1"/>
    </xf>
    <xf numFmtId="0" fontId="74" fillId="3" borderId="2" xfId="26" applyFont="1" applyFill="1" applyBorder="1" applyAlignment="1">
      <alignment horizontal="left" vertical="center" wrapText="1"/>
    </xf>
    <xf numFmtId="0" fontId="74" fillId="0" borderId="1" xfId="26" applyFont="1" applyFill="1" applyBorder="1" applyAlignment="1">
      <alignment horizontal="left" wrapText="1"/>
    </xf>
    <xf numFmtId="0" fontId="74" fillId="0" borderId="39" xfId="26" applyFont="1" applyFill="1" applyBorder="1" applyAlignment="1">
      <alignment horizontal="left" wrapText="1"/>
    </xf>
    <xf numFmtId="0" fontId="74" fillId="0" borderId="2" xfId="26" applyFont="1" applyFill="1" applyBorder="1" applyAlignment="1">
      <alignment horizontal="left" wrapText="1"/>
    </xf>
    <xf numFmtId="0" fontId="74" fillId="3" borderId="1" xfId="26" applyFont="1" applyFill="1" applyBorder="1" applyAlignment="1">
      <alignment horizontal="left" wrapText="1"/>
    </xf>
    <xf numFmtId="0" fontId="74" fillId="3" borderId="39" xfId="26" applyFont="1" applyFill="1" applyBorder="1" applyAlignment="1">
      <alignment horizontal="left" wrapText="1"/>
    </xf>
    <xf numFmtId="0" fontId="74" fillId="3" borderId="2" xfId="26" applyFont="1" applyFill="1" applyBorder="1" applyAlignment="1">
      <alignment horizontal="left" wrapText="1"/>
    </xf>
    <xf numFmtId="4" fontId="77" fillId="0" borderId="7" xfId="26" applyNumberFormat="1" applyFont="1" applyFill="1" applyBorder="1" applyAlignment="1">
      <alignment horizontal="right" vertical="center"/>
    </xf>
    <xf numFmtId="4" fontId="77" fillId="0" borderId="6" xfId="26" applyNumberFormat="1" applyFont="1" applyFill="1" applyBorder="1" applyAlignment="1">
      <alignment horizontal="right" vertical="center"/>
    </xf>
    <xf numFmtId="0" fontId="74" fillId="0" borderId="8" xfId="26" applyFont="1" applyFill="1" applyBorder="1" applyAlignment="1">
      <alignment horizontal="center" vertical="center"/>
    </xf>
    <xf numFmtId="0" fontId="74" fillId="0" borderId="27" xfId="26" applyFont="1" applyFill="1" applyBorder="1" applyAlignment="1">
      <alignment horizontal="center" vertical="center"/>
    </xf>
    <xf numFmtId="0" fontId="74" fillId="0" borderId="18" xfId="26" applyFont="1" applyFill="1" applyBorder="1" applyAlignment="1">
      <alignment horizontal="center" vertical="center"/>
    </xf>
    <xf numFmtId="0" fontId="33" fillId="0" borderId="27" xfId="26" applyFont="1" applyFill="1" applyBorder="1" applyAlignment="1">
      <alignment horizontal="center" vertical="center" wrapText="1"/>
    </xf>
    <xf numFmtId="0" fontId="71" fillId="0" borderId="27" xfId="26" applyFont="1" applyFill="1" applyBorder="1" applyAlignment="1">
      <alignment horizontal="center" vertical="center" wrapText="1"/>
    </xf>
    <xf numFmtId="0" fontId="71" fillId="0" borderId="26" xfId="26" applyFont="1" applyFill="1" applyBorder="1" applyAlignment="1">
      <alignment horizontal="center" vertical="center" wrapText="1"/>
    </xf>
    <xf numFmtId="0" fontId="34" fillId="0" borderId="0" xfId="26" applyFont="1" applyFill="1" applyBorder="1" applyAlignment="1" applyProtection="1">
      <alignment horizontal="center" vertical="center"/>
      <protection locked="0"/>
    </xf>
    <xf numFmtId="2" fontId="7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2" fillId="0" borderId="0" xfId="0" applyFont="1" applyFill="1" applyBorder="1" applyAlignment="1">
      <alignment horizontal="center" vertical="center" wrapText="1"/>
    </xf>
    <xf numFmtId="0" fontId="72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>
      <alignment horizontal="center" vertical="center" wrapText="1"/>
    </xf>
    <xf numFmtId="2" fontId="34" fillId="0" borderId="0" xfId="26" applyNumberFormat="1" applyFont="1" applyFill="1" applyBorder="1" applyAlignment="1" applyProtection="1">
      <alignment horizontal="center" vertical="center"/>
      <protection locked="0"/>
    </xf>
    <xf numFmtId="2" fontId="7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6" fillId="0" borderId="0" xfId="0" applyFont="1" applyFill="1" applyBorder="1" applyAlignment="1">
      <alignment horizontal="center" vertical="center" wrapText="1"/>
    </xf>
    <xf numFmtId="0" fontId="76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55" applyFont="1" applyFill="1" applyBorder="1" applyAlignment="1">
      <alignment horizontal="left" vertical="distributed"/>
    </xf>
    <xf numFmtId="0" fontId="74" fillId="0" borderId="1" xfId="0" applyFont="1" applyBorder="1" applyAlignment="1">
      <alignment vertical="center" wrapText="1"/>
    </xf>
    <xf numFmtId="0" fontId="74" fillId="0" borderId="39" xfId="0" applyFont="1" applyBorder="1" applyAlignment="1">
      <alignment vertical="center" wrapText="1"/>
    </xf>
    <xf numFmtId="0" fontId="74" fillId="0" borderId="2" xfId="0" applyFont="1" applyBorder="1" applyAlignment="1">
      <alignment vertical="center" wrapText="1"/>
    </xf>
    <xf numFmtId="0" fontId="77" fillId="0" borderId="1" xfId="0" applyFont="1" applyBorder="1" applyAlignment="1">
      <alignment vertical="center" wrapText="1"/>
    </xf>
    <xf numFmtId="0" fontId="77" fillId="0" borderId="39" xfId="0" applyFont="1" applyBorder="1" applyAlignment="1">
      <alignment vertical="center" wrapText="1"/>
    </xf>
    <xf numFmtId="0" fontId="77" fillId="0" borderId="2" xfId="0" applyFont="1" applyBorder="1" applyAlignment="1">
      <alignment vertical="center" wrapText="1"/>
    </xf>
    <xf numFmtId="0" fontId="74" fillId="0" borderId="49" xfId="0" applyFont="1" applyBorder="1" applyAlignment="1">
      <alignment horizontal="left" vertical="center"/>
    </xf>
    <xf numFmtId="0" fontId="74" fillId="0" borderId="51" xfId="0" applyFont="1" applyBorder="1" applyAlignment="1">
      <alignment horizontal="left" vertical="center"/>
    </xf>
    <xf numFmtId="0" fontId="74" fillId="0" borderId="50" xfId="0" applyFont="1" applyBorder="1" applyAlignment="1">
      <alignment horizontal="left" vertical="center"/>
    </xf>
    <xf numFmtId="0" fontId="77" fillId="0" borderId="8" xfId="0" applyFont="1" applyFill="1" applyBorder="1" applyAlignment="1">
      <alignment horizontal="left" vertical="center" wrapText="1"/>
    </xf>
    <xf numFmtId="0" fontId="77" fillId="0" borderId="27" xfId="0" applyFont="1" applyFill="1" applyBorder="1" applyAlignment="1">
      <alignment horizontal="left" vertical="center" wrapText="1"/>
    </xf>
    <xf numFmtId="0" fontId="77" fillId="0" borderId="18" xfId="0" applyFont="1" applyFill="1" applyBorder="1" applyAlignment="1">
      <alignment horizontal="left" vertical="center" wrapText="1"/>
    </xf>
    <xf numFmtId="0" fontId="34" fillId="0" borderId="8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18" xfId="0" applyFont="1" applyBorder="1" applyAlignment="1">
      <alignment horizontal="left" vertical="center"/>
    </xf>
    <xf numFmtId="0" fontId="74" fillId="0" borderId="70" xfId="0" applyFont="1" applyBorder="1" applyAlignment="1">
      <alignment horizontal="center" vertical="center"/>
    </xf>
    <xf numFmtId="0" fontId="74" fillId="0" borderId="13" xfId="0" applyFont="1" applyBorder="1" applyAlignment="1">
      <alignment horizontal="center" vertical="center"/>
    </xf>
    <xf numFmtId="0" fontId="74" fillId="0" borderId="14" xfId="0" applyFont="1" applyBorder="1" applyAlignment="1">
      <alignment horizontal="center" vertical="center"/>
    </xf>
    <xf numFmtId="0" fontId="74" fillId="0" borderId="49" xfId="0" applyFont="1" applyBorder="1" applyAlignment="1">
      <alignment horizontal="left" vertical="center" wrapText="1"/>
    </xf>
    <xf numFmtId="0" fontId="74" fillId="0" borderId="51" xfId="0" applyFont="1" applyBorder="1" applyAlignment="1">
      <alignment horizontal="left" vertical="center" wrapText="1"/>
    </xf>
    <xf numFmtId="0" fontId="74" fillId="0" borderId="50" xfId="0" applyFont="1" applyBorder="1" applyAlignment="1">
      <alignment horizontal="left" vertical="center" wrapText="1"/>
    </xf>
    <xf numFmtId="0" fontId="74" fillId="0" borderId="43" xfId="0" applyFont="1" applyBorder="1" applyAlignment="1">
      <alignment horizontal="left" vertical="center" wrapText="1"/>
    </xf>
    <xf numFmtId="0" fontId="74" fillId="0" borderId="0" xfId="0" applyFont="1" applyBorder="1" applyAlignment="1">
      <alignment horizontal="left" vertical="center" wrapText="1"/>
    </xf>
    <xf numFmtId="0" fontId="74" fillId="0" borderId="47" xfId="0" applyFont="1" applyBorder="1" applyAlignment="1">
      <alignment horizontal="left" vertical="center" wrapText="1"/>
    </xf>
    <xf numFmtId="0" fontId="74" fillId="0" borderId="72" xfId="0" applyFont="1" applyBorder="1" applyAlignment="1">
      <alignment horizontal="left" vertical="center" wrapText="1"/>
    </xf>
    <xf numFmtId="0" fontId="74" fillId="0" borderId="29" xfId="0" applyFont="1" applyBorder="1" applyAlignment="1">
      <alignment horizontal="left" vertical="center" wrapText="1"/>
    </xf>
    <xf numFmtId="0" fontId="74" fillId="0" borderId="16" xfId="0" applyFont="1" applyBorder="1" applyAlignment="1">
      <alignment horizontal="left" vertical="center" wrapText="1"/>
    </xf>
    <xf numFmtId="0" fontId="74" fillId="0" borderId="1" xfId="0" applyNumberFormat="1" applyFont="1" applyFill="1" applyBorder="1" applyAlignment="1" applyProtection="1">
      <alignment horizontal="left" vertical="top" wrapText="1"/>
    </xf>
    <xf numFmtId="0" fontId="74" fillId="0" borderId="39" xfId="0" applyNumberFormat="1" applyFont="1" applyFill="1" applyBorder="1" applyAlignment="1" applyProtection="1">
      <alignment horizontal="left" vertical="top" wrapText="1"/>
    </xf>
    <xf numFmtId="0" fontId="74" fillId="0" borderId="2" xfId="0" applyNumberFormat="1" applyFont="1" applyFill="1" applyBorder="1" applyAlignment="1" applyProtection="1">
      <alignment horizontal="left" vertical="top" wrapText="1"/>
    </xf>
    <xf numFmtId="0" fontId="74" fillId="0" borderId="1" xfId="0" applyNumberFormat="1" applyFont="1" applyFill="1" applyBorder="1" applyAlignment="1" applyProtection="1">
      <alignment vertical="top" wrapText="1"/>
    </xf>
    <xf numFmtId="0" fontId="74" fillId="0" borderId="39" xfId="0" applyFont="1" applyBorder="1" applyAlignment="1"/>
    <xf numFmtId="0" fontId="74" fillId="0" borderId="2" xfId="0" applyFont="1" applyBorder="1" applyAlignment="1"/>
    <xf numFmtId="0" fontId="34" fillId="0" borderId="39" xfId="0" applyFont="1" applyFill="1" applyBorder="1" applyAlignment="1">
      <alignment horizontal="left" wrapText="1"/>
    </xf>
    <xf numFmtId="0" fontId="77" fillId="0" borderId="39" xfId="0" applyFont="1" applyBorder="1" applyAlignment="1">
      <alignment horizontal="left" vertical="center" wrapText="1"/>
    </xf>
    <xf numFmtId="0" fontId="77" fillId="0" borderId="2" xfId="0" applyFont="1" applyBorder="1" applyAlignment="1">
      <alignment horizontal="left" vertical="center" wrapText="1"/>
    </xf>
    <xf numFmtId="0" fontId="74" fillId="0" borderId="70" xfId="0" applyFont="1" applyFill="1" applyBorder="1" applyAlignment="1">
      <alignment horizontal="center" vertical="center"/>
    </xf>
    <xf numFmtId="0" fontId="74" fillId="0" borderId="13" xfId="0" applyFont="1" applyFill="1" applyBorder="1" applyAlignment="1">
      <alignment horizontal="center" vertical="center"/>
    </xf>
    <xf numFmtId="0" fontId="74" fillId="0" borderId="43" xfId="0" applyFont="1" applyBorder="1" applyAlignment="1">
      <alignment horizontal="left" vertical="center"/>
    </xf>
    <xf numFmtId="0" fontId="74" fillId="0" borderId="0" xfId="0" applyFont="1" applyBorder="1" applyAlignment="1">
      <alignment horizontal="left" vertical="center"/>
    </xf>
    <xf numFmtId="0" fontId="74" fillId="0" borderId="47" xfId="0" applyFont="1" applyBorder="1" applyAlignment="1">
      <alignment horizontal="left" vertical="center"/>
    </xf>
    <xf numFmtId="0" fontId="33" fillId="0" borderId="49" xfId="0" applyFont="1" applyBorder="1" applyAlignment="1">
      <alignment vertical="center" wrapText="1"/>
    </xf>
    <xf numFmtId="0" fontId="33" fillId="0" borderId="51" xfId="0" applyFont="1" applyBorder="1" applyAlignment="1">
      <alignment vertical="center" wrapText="1"/>
    </xf>
    <xf numFmtId="0" fontId="33" fillId="0" borderId="50" xfId="0" applyFont="1" applyBorder="1" applyAlignment="1">
      <alignment vertical="center" wrapText="1"/>
    </xf>
    <xf numFmtId="0" fontId="77" fillId="0" borderId="27" xfId="0" applyFont="1" applyFill="1" applyBorder="1" applyAlignment="1">
      <alignment wrapText="1"/>
    </xf>
    <xf numFmtId="0" fontId="74" fillId="0" borderId="27" xfId="0" applyFont="1" applyFill="1" applyBorder="1" applyAlignment="1">
      <alignment wrapText="1"/>
    </xf>
    <xf numFmtId="0" fontId="74" fillId="0" borderId="70" xfId="0" applyNumberFormat="1" applyFont="1" applyFill="1" applyBorder="1" applyAlignment="1" applyProtection="1">
      <alignment horizontal="center" vertical="center"/>
    </xf>
    <xf numFmtId="0" fontId="74" fillId="0" borderId="13" xfId="0" applyNumberFormat="1" applyFont="1" applyFill="1" applyBorder="1" applyAlignment="1" applyProtection="1">
      <alignment horizontal="center" vertical="center"/>
    </xf>
    <xf numFmtId="0" fontId="74" fillId="0" borderId="14" xfId="0" applyNumberFormat="1" applyFont="1" applyFill="1" applyBorder="1" applyAlignment="1" applyProtection="1">
      <alignment horizontal="center" vertical="center"/>
    </xf>
    <xf numFmtId="0" fontId="74" fillId="0" borderId="14" xfId="0" applyFont="1" applyFill="1" applyBorder="1" applyAlignment="1">
      <alignment horizontal="center" vertical="center"/>
    </xf>
    <xf numFmtId="0" fontId="74" fillId="0" borderId="49" xfId="0" applyNumberFormat="1" applyFont="1" applyFill="1" applyBorder="1" applyAlignment="1" applyProtection="1">
      <alignment horizontal="left" vertical="center" wrapText="1"/>
    </xf>
    <xf numFmtId="0" fontId="74" fillId="0" borderId="51" xfId="0" applyNumberFormat="1" applyFont="1" applyFill="1" applyBorder="1" applyAlignment="1" applyProtection="1">
      <alignment horizontal="left" vertical="center" wrapText="1"/>
    </xf>
    <xf numFmtId="0" fontId="74" fillId="0" borderId="50" xfId="0" applyNumberFormat="1" applyFont="1" applyFill="1" applyBorder="1" applyAlignment="1" applyProtection="1">
      <alignment horizontal="left" vertical="center" wrapText="1"/>
    </xf>
    <xf numFmtId="0" fontId="74" fillId="0" borderId="72" xfId="0" applyNumberFormat="1" applyFont="1" applyFill="1" applyBorder="1" applyAlignment="1" applyProtection="1">
      <alignment horizontal="left" vertical="center" wrapText="1"/>
    </xf>
    <xf numFmtId="0" fontId="74" fillId="0" borderId="29" xfId="0" applyNumberFormat="1" applyFont="1" applyFill="1" applyBorder="1" applyAlignment="1" applyProtection="1">
      <alignment horizontal="left" vertical="center" wrapText="1"/>
    </xf>
    <xf numFmtId="0" fontId="74" fillId="0" borderId="16" xfId="0" applyNumberFormat="1" applyFont="1" applyFill="1" applyBorder="1" applyAlignment="1" applyProtection="1">
      <alignment horizontal="left" vertical="center" wrapText="1"/>
    </xf>
    <xf numFmtId="0" fontId="87" fillId="0" borderId="54" xfId="0" applyFont="1" applyBorder="1" applyAlignment="1">
      <alignment horizontal="left"/>
    </xf>
    <xf numFmtId="0" fontId="33" fillId="0" borderId="49" xfId="0" applyNumberFormat="1" applyFont="1" applyFill="1" applyBorder="1" applyAlignment="1" applyProtection="1">
      <alignment horizontal="left" vertical="center" wrapText="1"/>
    </xf>
    <xf numFmtId="0" fontId="33" fillId="0" borderId="51" xfId="0" applyNumberFormat="1" applyFont="1" applyFill="1" applyBorder="1" applyAlignment="1" applyProtection="1">
      <alignment horizontal="left" vertical="center" wrapText="1"/>
    </xf>
    <xf numFmtId="0" fontId="33" fillId="0" borderId="50" xfId="0" applyNumberFormat="1" applyFont="1" applyFill="1" applyBorder="1" applyAlignment="1" applyProtection="1">
      <alignment horizontal="left" vertical="center" wrapText="1"/>
    </xf>
    <xf numFmtId="0" fontId="33" fillId="0" borderId="43" xfId="0" applyNumberFormat="1" applyFont="1" applyFill="1" applyBorder="1" applyAlignment="1" applyProtection="1">
      <alignment horizontal="left" vertical="center" wrapText="1"/>
    </xf>
    <xf numFmtId="0" fontId="33" fillId="0" borderId="0" xfId="0" applyNumberFormat="1" applyFont="1" applyFill="1" applyBorder="1" applyAlignment="1" applyProtection="1">
      <alignment horizontal="left" vertical="center" wrapText="1"/>
    </xf>
    <xf numFmtId="0" fontId="33" fillId="0" borderId="47" xfId="0" applyNumberFormat="1" applyFont="1" applyFill="1" applyBorder="1" applyAlignment="1" applyProtection="1">
      <alignment horizontal="left" vertical="center" wrapText="1"/>
    </xf>
    <xf numFmtId="0" fontId="33" fillId="0" borderId="72" xfId="0" applyNumberFormat="1" applyFont="1" applyFill="1" applyBorder="1" applyAlignment="1" applyProtection="1">
      <alignment horizontal="left" vertical="center" wrapText="1"/>
    </xf>
    <xf numFmtId="0" fontId="33" fillId="0" borderId="29" xfId="0" applyNumberFormat="1" applyFont="1" applyFill="1" applyBorder="1" applyAlignment="1" applyProtection="1">
      <alignment horizontal="left" vertical="center" wrapText="1"/>
    </xf>
    <xf numFmtId="0" fontId="33" fillId="0" borderId="16" xfId="0" applyNumberFormat="1" applyFont="1" applyFill="1" applyBorder="1" applyAlignment="1" applyProtection="1">
      <alignment horizontal="left" vertical="center" wrapText="1"/>
    </xf>
    <xf numFmtId="0" fontId="74" fillId="0" borderId="28" xfId="0" applyNumberFormat="1" applyFont="1" applyFill="1" applyBorder="1" applyAlignment="1" applyProtection="1">
      <alignment horizontal="center" vertical="top" wrapText="1"/>
    </xf>
    <xf numFmtId="0" fontId="74" fillId="0" borderId="34" xfId="0" applyNumberFormat="1" applyFont="1" applyFill="1" applyBorder="1" applyAlignment="1" applyProtection="1">
      <alignment horizontal="center" vertical="top" wrapText="1"/>
    </xf>
    <xf numFmtId="0" fontId="74" fillId="0" borderId="35" xfId="0" applyNumberFormat="1" applyFont="1" applyFill="1" applyBorder="1" applyAlignment="1" applyProtection="1">
      <alignment horizontal="center" vertical="top" wrapText="1"/>
    </xf>
    <xf numFmtId="0" fontId="77" fillId="0" borderId="28" xfId="0" applyFont="1" applyBorder="1" applyAlignment="1">
      <alignment horizontal="center"/>
    </xf>
    <xf numFmtId="0" fontId="77" fillId="0" borderId="34" xfId="0" applyFont="1" applyBorder="1" applyAlignment="1">
      <alignment horizontal="center"/>
    </xf>
    <xf numFmtId="0" fontId="77" fillId="0" borderId="35" xfId="0" applyFont="1" applyBorder="1" applyAlignment="1">
      <alignment horizontal="center"/>
    </xf>
    <xf numFmtId="0" fontId="77" fillId="0" borderId="8" xfId="0" applyFont="1" applyBorder="1" applyAlignment="1">
      <alignment horizontal="center" vertical="center" wrapText="1"/>
    </xf>
    <xf numFmtId="0" fontId="77" fillId="0" borderId="27" xfId="0" applyFont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2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34" fillId="0" borderId="27" xfId="0" applyFont="1" applyFill="1" applyBorder="1" applyAlignment="1">
      <alignment horizontal="left" vertical="center" wrapText="1"/>
    </xf>
    <xf numFmtId="0" fontId="33" fillId="0" borderId="14" xfId="0" applyFont="1" applyFill="1" applyBorder="1" applyAlignment="1">
      <alignment horizontal="center" vertical="center"/>
    </xf>
    <xf numFmtId="2" fontId="72" fillId="0" borderId="0" xfId="15" applyNumberFormat="1" applyFont="1" applyBorder="1" applyAlignment="1" applyProtection="1">
      <alignment horizontal="center" vertical="center" wrapText="1"/>
      <protection locked="0"/>
    </xf>
    <xf numFmtId="0" fontId="55" fillId="0" borderId="0" xfId="15" applyFont="1" applyFill="1" applyBorder="1" applyAlignment="1" applyProtection="1">
      <alignment horizontal="center" vertical="top" wrapText="1"/>
      <protection locked="0"/>
    </xf>
    <xf numFmtId="0" fontId="105" fillId="0" borderId="0" xfId="0" applyFont="1" applyFill="1" applyAlignment="1">
      <alignment horizontal="center" wrapText="1"/>
    </xf>
    <xf numFmtId="4" fontId="33" fillId="0" borderId="44" xfId="0" applyNumberFormat="1" applyFont="1" applyFill="1" applyBorder="1" applyAlignment="1">
      <alignment horizontal="center" vertical="center"/>
    </xf>
    <xf numFmtId="4" fontId="33" fillId="0" borderId="36" xfId="0" applyNumberFormat="1" applyFont="1" applyFill="1" applyBorder="1" applyAlignment="1">
      <alignment horizontal="center" vertical="center"/>
    </xf>
    <xf numFmtId="4" fontId="33" fillId="0" borderId="41" xfId="0" applyNumberFormat="1" applyFont="1" applyFill="1" applyBorder="1" applyAlignment="1">
      <alignment horizontal="center" vertical="center"/>
    </xf>
    <xf numFmtId="0" fontId="34" fillId="0" borderId="10" xfId="54" applyFont="1" applyFill="1" applyBorder="1" applyAlignment="1">
      <alignment horizontal="left" vertical="center" wrapText="1"/>
    </xf>
    <xf numFmtId="0" fontId="34" fillId="0" borderId="18" xfId="54" applyFont="1" applyFill="1" applyBorder="1" applyAlignment="1">
      <alignment horizontal="left" vertical="center" wrapText="1"/>
    </xf>
    <xf numFmtId="0" fontId="34" fillId="0" borderId="76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2" fontId="33" fillId="0" borderId="76" xfId="0" applyNumberFormat="1" applyFont="1" applyFill="1" applyBorder="1" applyAlignment="1">
      <alignment vertical="distributed"/>
    </xf>
    <xf numFmtId="2" fontId="33" fillId="0" borderId="51" xfId="0" applyNumberFormat="1" applyFont="1" applyFill="1" applyBorder="1" applyAlignment="1">
      <alignment vertical="distributed"/>
    </xf>
    <xf numFmtId="0" fontId="33" fillId="0" borderId="7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0" fontId="33" fillId="0" borderId="17" xfId="0" applyFont="1" applyFill="1" applyBorder="1" applyAlignment="1">
      <alignment horizontal="center" vertical="center"/>
    </xf>
    <xf numFmtId="0" fontId="33" fillId="0" borderId="51" xfId="0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right" vertical="center"/>
    </xf>
    <xf numFmtId="0" fontId="33" fillId="0" borderId="34" xfId="0" applyFont="1" applyFill="1" applyBorder="1" applyAlignment="1">
      <alignment horizontal="right" vertical="center"/>
    </xf>
    <xf numFmtId="0" fontId="33" fillId="0" borderId="51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34" xfId="0" applyFont="1" applyFill="1" applyBorder="1" applyAlignment="1">
      <alignment horizontal="center" vertical="center"/>
    </xf>
    <xf numFmtId="174" fontId="33" fillId="0" borderId="51" xfId="0" applyNumberFormat="1" applyFont="1" applyFill="1" applyBorder="1" applyAlignment="1">
      <alignment horizontal="left" vertical="center"/>
    </xf>
    <xf numFmtId="174" fontId="33" fillId="0" borderId="0" xfId="0" applyNumberFormat="1" applyFont="1" applyFill="1" applyBorder="1" applyAlignment="1">
      <alignment horizontal="left" vertical="center"/>
    </xf>
    <xf numFmtId="174" fontId="33" fillId="0" borderId="34" xfId="0" applyNumberFormat="1" applyFont="1" applyFill="1" applyBorder="1" applyAlignment="1">
      <alignment horizontal="left" vertical="center"/>
    </xf>
    <xf numFmtId="4" fontId="33" fillId="0" borderId="42" xfId="0" applyNumberFormat="1" applyFont="1" applyFill="1" applyBorder="1" applyAlignment="1">
      <alignment horizontal="center" vertical="distributed"/>
    </xf>
    <xf numFmtId="4" fontId="33" fillId="0" borderId="36" xfId="0" applyNumberFormat="1" applyFont="1" applyFill="1" applyBorder="1" applyAlignment="1">
      <alignment horizontal="center" vertical="distributed"/>
    </xf>
    <xf numFmtId="4" fontId="33" fillId="0" borderId="0" xfId="0" applyNumberFormat="1" applyFont="1" applyFill="1" applyBorder="1" applyAlignment="1">
      <alignment horizontal="right" vertical="distributed"/>
    </xf>
    <xf numFmtId="173" fontId="33" fillId="0" borderId="51" xfId="0" applyNumberFormat="1" applyFont="1" applyFill="1" applyBorder="1" applyAlignment="1">
      <alignment horizontal="left" vertical="center"/>
    </xf>
    <xf numFmtId="173" fontId="33" fillId="0" borderId="0" xfId="0" applyNumberFormat="1" applyFont="1" applyFill="1" applyBorder="1" applyAlignment="1">
      <alignment horizontal="left" vertical="center"/>
    </xf>
    <xf numFmtId="49" fontId="34" fillId="0" borderId="76" xfId="0" applyNumberFormat="1" applyFont="1" applyFill="1" applyBorder="1" applyAlignment="1">
      <alignment horizontal="center" vertical="distributed"/>
    </xf>
    <xf numFmtId="49" fontId="34" fillId="0" borderId="15" xfId="0" applyNumberFormat="1" applyFont="1" applyFill="1" applyBorder="1" applyAlignment="1">
      <alignment horizontal="center" vertical="distributed"/>
    </xf>
    <xf numFmtId="2" fontId="33" fillId="0" borderId="31" xfId="0" applyNumberFormat="1" applyFont="1" applyFill="1" applyBorder="1" applyAlignment="1">
      <alignment horizontal="justify" vertical="distributed"/>
    </xf>
    <xf numFmtId="2" fontId="33" fillId="0" borderId="32" xfId="0" applyNumberFormat="1" applyFont="1" applyFill="1" applyBorder="1" applyAlignment="1">
      <alignment horizontal="justify" vertical="distributed"/>
    </xf>
    <xf numFmtId="2" fontId="33" fillId="0" borderId="11" xfId="0" applyNumberFormat="1" applyFont="1" applyFill="1" applyBorder="1" applyAlignment="1">
      <alignment horizontal="center" vertical="distributed"/>
    </xf>
    <xf numFmtId="2" fontId="33" fillId="0" borderId="4" xfId="0" applyNumberFormat="1" applyFont="1" applyFill="1" applyBorder="1" applyAlignment="1">
      <alignment horizontal="center" vertical="distributed"/>
    </xf>
    <xf numFmtId="4" fontId="33" fillId="0" borderId="73" xfId="0" applyNumberFormat="1" applyFont="1" applyFill="1" applyBorder="1" applyAlignment="1">
      <alignment horizontal="right" vertical="distributed"/>
    </xf>
    <xf numFmtId="4" fontId="33" fillId="0" borderId="43" xfId="0" applyNumberFormat="1" applyFont="1" applyFill="1" applyBorder="1" applyAlignment="1">
      <alignment horizontal="right" vertical="distributed"/>
    </xf>
    <xf numFmtId="4" fontId="33" fillId="0" borderId="72" xfId="0" applyNumberFormat="1" applyFont="1" applyFill="1" applyBorder="1" applyAlignment="1">
      <alignment horizontal="right" vertical="distributed"/>
    </xf>
    <xf numFmtId="2" fontId="33" fillId="0" borderId="32" xfId="0" applyNumberFormat="1" applyFont="1" applyFill="1" applyBorder="1" applyAlignment="1">
      <alignment horizontal="center" vertical="distributed"/>
    </xf>
    <xf numFmtId="2" fontId="33" fillId="0" borderId="0" xfId="0" applyNumberFormat="1" applyFont="1" applyFill="1" applyBorder="1" applyAlignment="1">
      <alignment horizontal="center" vertical="distributed"/>
    </xf>
    <xf numFmtId="2" fontId="33" fillId="0" borderId="32" xfId="0" applyNumberFormat="1" applyFont="1" applyFill="1" applyBorder="1" applyAlignment="1">
      <alignment horizontal="left" vertical="distributed"/>
    </xf>
    <xf numFmtId="2" fontId="33" fillId="0" borderId="0" xfId="0" applyNumberFormat="1" applyFont="1" applyFill="1" applyBorder="1" applyAlignment="1">
      <alignment horizontal="left" vertical="distributed"/>
    </xf>
    <xf numFmtId="1" fontId="33" fillId="0" borderId="1" xfId="0" applyNumberFormat="1" applyFont="1" applyFill="1" applyBorder="1" applyAlignment="1">
      <alignment horizontal="center" vertical="center"/>
    </xf>
    <xf numFmtId="1" fontId="33" fillId="0" borderId="2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1" fontId="34" fillId="0" borderId="51" xfId="0" applyNumberFormat="1" applyFont="1" applyFill="1" applyBorder="1" applyAlignment="1">
      <alignment horizontal="left" vertical="center"/>
    </xf>
    <xf numFmtId="0" fontId="74" fillId="3" borderId="57" xfId="26" applyFont="1" applyFill="1" applyBorder="1" applyAlignment="1">
      <alignment horizontal="left" vertical="center" wrapText="1"/>
    </xf>
    <xf numFmtId="0" fontId="74" fillId="0" borderId="57" xfId="26" applyFont="1" applyFill="1" applyBorder="1" applyAlignment="1">
      <alignment horizontal="left" wrapText="1"/>
    </xf>
    <xf numFmtId="0" fontId="74" fillId="3" borderId="57" xfId="26" applyFont="1" applyFill="1" applyBorder="1" applyAlignment="1">
      <alignment horizontal="left" wrapText="1"/>
    </xf>
    <xf numFmtId="0" fontId="34" fillId="0" borderId="0" xfId="15" applyFont="1" applyFill="1" applyBorder="1" applyAlignment="1" applyProtection="1">
      <alignment horizontal="center" vertical="center"/>
      <protection locked="0"/>
    </xf>
    <xf numFmtId="2" fontId="72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34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7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3" xfId="15" applyNumberFormat="1" applyFont="1" applyFill="1" applyBorder="1" applyAlignment="1" applyProtection="1">
      <alignment horizontal="center" vertical="center" wrapText="1"/>
      <protection locked="0"/>
    </xf>
    <xf numFmtId="0" fontId="34" fillId="0" borderId="69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4" fillId="0" borderId="73" xfId="0" applyFont="1" applyFill="1" applyBorder="1" applyAlignment="1">
      <alignment horizontal="center" vertical="center" wrapText="1"/>
    </xf>
    <xf numFmtId="0" fontId="34" fillId="0" borderId="75" xfId="0" applyFont="1" applyFill="1" applyBorder="1" applyAlignment="1">
      <alignment horizontal="center" vertical="center" wrapText="1"/>
    </xf>
    <xf numFmtId="0" fontId="34" fillId="0" borderId="72" xfId="0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4" fillId="0" borderId="42" xfId="0" applyFont="1" applyFill="1" applyBorder="1" applyAlignment="1">
      <alignment horizontal="center" vertical="center"/>
    </xf>
    <xf numFmtId="0" fontId="34" fillId="0" borderId="66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11" fillId="0" borderId="0" xfId="15" applyFont="1" applyBorder="1" applyAlignment="1" applyProtection="1">
      <alignment horizontal="center" vertical="center"/>
      <protection locked="0"/>
    </xf>
    <xf numFmtId="2" fontId="101" fillId="0" borderId="0" xfId="10" applyNumberFormat="1" applyFont="1" applyFill="1" applyAlignment="1">
      <alignment horizontal="center" vertical="center" wrapText="1"/>
    </xf>
    <xf numFmtId="0" fontId="101" fillId="0" borderId="0" xfId="10" applyFont="1" applyFill="1" applyAlignment="1">
      <alignment horizontal="center" vertical="center" wrapText="1"/>
    </xf>
    <xf numFmtId="0" fontId="45" fillId="0" borderId="0" xfId="10" applyFont="1" applyFill="1" applyBorder="1" applyAlignment="1">
      <alignment horizontal="center" vertical="center" wrapText="1"/>
    </xf>
    <xf numFmtId="0" fontId="44" fillId="0" borderId="3" xfId="10" applyFont="1" applyFill="1" applyBorder="1" applyAlignment="1">
      <alignment horizontal="center" vertical="center" wrapText="1"/>
    </xf>
    <xf numFmtId="0" fontId="44" fillId="0" borderId="0" xfId="10" applyFont="1" applyFill="1" applyAlignment="1">
      <alignment horizontal="center" vertical="center"/>
    </xf>
    <xf numFmtId="2" fontId="44" fillId="0" borderId="0" xfId="10" applyNumberFormat="1" applyFont="1" applyFill="1" applyAlignment="1">
      <alignment horizontal="center" vertical="center"/>
    </xf>
    <xf numFmtId="0" fontId="45" fillId="0" borderId="0" xfId="22" applyFont="1" applyFill="1" applyBorder="1" applyAlignment="1">
      <alignment horizontal="center" vertical="center" wrapText="1"/>
    </xf>
    <xf numFmtId="0" fontId="72" fillId="0" borderId="0" xfId="18" applyFont="1" applyFill="1" applyBorder="1" applyAlignment="1" applyProtection="1">
      <alignment horizontal="center" vertical="center" wrapText="1"/>
      <protection locked="0"/>
    </xf>
    <xf numFmtId="0" fontId="95" fillId="0" borderId="0" xfId="18" applyFont="1" applyFill="1" applyBorder="1" applyAlignment="1" applyProtection="1">
      <alignment horizontal="center" vertical="center" wrapText="1"/>
      <protection locked="0"/>
    </xf>
    <xf numFmtId="0" fontId="95" fillId="0" borderId="0" xfId="18" applyFont="1" applyFill="1" applyBorder="1" applyAlignment="1">
      <alignment horizontal="center" vertical="center" wrapText="1"/>
    </xf>
    <xf numFmtId="0" fontId="76" fillId="0" borderId="0" xfId="15" applyFont="1" applyBorder="1" applyAlignment="1" applyProtection="1">
      <alignment horizontal="center" vertical="center"/>
      <protection locked="0"/>
    </xf>
    <xf numFmtId="0" fontId="76" fillId="0" borderId="0" xfId="15" applyFont="1" applyFill="1" applyBorder="1" applyAlignment="1" applyProtection="1">
      <alignment horizontal="center" vertical="center"/>
      <protection locked="0"/>
    </xf>
    <xf numFmtId="0" fontId="76" fillId="0" borderId="0" xfId="18" applyFont="1" applyFill="1" applyBorder="1" applyAlignment="1" applyProtection="1">
      <alignment horizontal="center" vertical="center" wrapText="1"/>
      <protection locked="0"/>
    </xf>
    <xf numFmtId="0" fontId="11" fillId="0" borderId="57" xfId="0" applyFont="1" applyBorder="1" applyAlignment="1" applyProtection="1">
      <alignment horizontal="center" vertical="center"/>
      <protection locked="0"/>
    </xf>
    <xf numFmtId="0" fontId="19" fillId="0" borderId="3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4" fontId="33" fillId="0" borderId="0" xfId="0" applyNumberFormat="1" applyFont="1" applyBorder="1" applyAlignment="1" applyProtection="1">
      <alignment horizontal="left" vertical="center" wrapText="1"/>
      <protection locked="0"/>
    </xf>
    <xf numFmtId="4" fontId="33" fillId="0" borderId="0" xfId="0" applyNumberFormat="1" applyFont="1" applyBorder="1" applyAlignment="1" applyProtection="1">
      <alignment vertical="center"/>
      <protection locked="0"/>
    </xf>
    <xf numFmtId="0" fontId="33" fillId="0" borderId="0" xfId="0" applyFont="1" applyAlignment="1">
      <alignment vertical="center"/>
    </xf>
    <xf numFmtId="0" fontId="109" fillId="0" borderId="0" xfId="0" applyFont="1" applyBorder="1" applyAlignment="1" applyProtection="1">
      <alignment horizontal="center" vertical="center" wrapText="1"/>
      <protection locked="0"/>
    </xf>
    <xf numFmtId="0" fontId="76" fillId="0" borderId="0" xfId="0" applyFont="1" applyBorder="1" applyAlignment="1" applyProtection="1">
      <alignment horizontal="center" vertical="center" wrapText="1"/>
      <protection locked="0"/>
    </xf>
    <xf numFmtId="0" fontId="101" fillId="0" borderId="57" xfId="0" applyFont="1" applyBorder="1" applyAlignment="1" applyProtection="1">
      <alignment horizontal="center" vertical="center" wrapText="1"/>
      <protection locked="0"/>
    </xf>
    <xf numFmtId="0" fontId="9" fillId="0" borderId="3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56" fillId="0" borderId="0" xfId="60" applyFont="1" applyAlignment="1">
      <alignment horizontal="center" vertical="center"/>
    </xf>
    <xf numFmtId="0" fontId="114" fillId="0" borderId="0" xfId="60" applyFont="1" applyAlignment="1">
      <alignment horizontal="center" vertical="center" wrapText="1"/>
    </xf>
    <xf numFmtId="2" fontId="33" fillId="0" borderId="0" xfId="60" applyNumberFormat="1" applyFont="1" applyAlignment="1">
      <alignment horizontal="center" vertical="center" wrapText="1"/>
    </xf>
    <xf numFmtId="0" fontId="33" fillId="0" borderId="0" xfId="60" applyFont="1" applyAlignment="1">
      <alignment horizontal="center" vertical="center" wrapText="1"/>
    </xf>
    <xf numFmtId="0" fontId="35" fillId="0" borderId="0" xfId="60" applyNumberFormat="1" applyFont="1" applyAlignment="1">
      <alignment horizontal="center" vertical="center"/>
    </xf>
    <xf numFmtId="0" fontId="114" fillId="0" borderId="0" xfId="60" applyNumberFormat="1" applyFont="1" applyAlignment="1">
      <alignment horizontal="left" vertical="center" wrapText="1"/>
    </xf>
    <xf numFmtId="0" fontId="35" fillId="0" borderId="0" xfId="60" applyFont="1" applyAlignment="1">
      <alignment horizontal="center" vertical="center"/>
    </xf>
    <xf numFmtId="2" fontId="114" fillId="0" borderId="0" xfId="60" applyNumberFormat="1" applyFont="1" applyAlignment="1">
      <alignment horizontal="center" vertical="center" wrapText="1"/>
    </xf>
    <xf numFmtId="0" fontId="35" fillId="0" borderId="0" xfId="60" applyNumberFormat="1" applyFont="1" applyAlignment="1">
      <alignment horizontal="center" vertical="center" wrapText="1"/>
    </xf>
    <xf numFmtId="0" fontId="38" fillId="0" borderId="0" xfId="37" applyFont="1" applyAlignment="1">
      <alignment horizontal="left" vertical="center" wrapText="1"/>
    </xf>
    <xf numFmtId="0" fontId="34" fillId="0" borderId="0" xfId="37" applyFont="1" applyFill="1" applyAlignment="1">
      <alignment horizontal="center" vertical="center"/>
    </xf>
    <xf numFmtId="0" fontId="76" fillId="0" borderId="0" xfId="5" applyFont="1" applyAlignment="1">
      <alignment horizontal="center" vertical="center"/>
    </xf>
  </cellXfs>
  <cellStyles count="76">
    <cellStyle name=" 1" xfId="1"/>
    <cellStyle name=" 1 2" xfId="2"/>
    <cellStyle name="S0" xfId="39"/>
    <cellStyle name="S1" xfId="40"/>
    <cellStyle name="S10" xfId="63"/>
    <cellStyle name="S10 2" xfId="64"/>
    <cellStyle name="S11" xfId="41"/>
    <cellStyle name="S11 2" xfId="65"/>
    <cellStyle name="S12" xfId="42"/>
    <cellStyle name="S12 2" xfId="66"/>
    <cellStyle name="S13" xfId="3"/>
    <cellStyle name="S13 2" xfId="67"/>
    <cellStyle name="S14" xfId="4"/>
    <cellStyle name="S14 2" xfId="68"/>
    <cellStyle name="S15" xfId="43"/>
    <cellStyle name="S15 2" xfId="69"/>
    <cellStyle name="S16" xfId="44"/>
    <cellStyle name="S16 2" xfId="70"/>
    <cellStyle name="S17" xfId="45"/>
    <cellStyle name="S18" xfId="46"/>
    <cellStyle name="S19" xfId="47"/>
    <cellStyle name="S2" xfId="48"/>
    <cellStyle name="S20" xfId="71"/>
    <cellStyle name="S21" xfId="72"/>
    <cellStyle name="S3" xfId="49"/>
    <cellStyle name="S4" xfId="50"/>
    <cellStyle name="S5" xfId="51"/>
    <cellStyle name="S6" xfId="52"/>
    <cellStyle name="S7" xfId="53"/>
    <cellStyle name="S8" xfId="73"/>
    <cellStyle name="S9" xfId="74"/>
    <cellStyle name="S9 2" xfId="75"/>
    <cellStyle name="Гиперссылка 2" xfId="24"/>
    <cellStyle name="Обычный" xfId="0" builtinId="0"/>
    <cellStyle name="Обычный 2" xfId="5"/>
    <cellStyle name="Обычный 2 2" xfId="6"/>
    <cellStyle name="Обычный 2 2 2" xfId="18"/>
    <cellStyle name="Обычный 2 3" xfId="61"/>
    <cellStyle name="Обычный 3" xfId="7"/>
    <cellStyle name="Обычный 3 2" xfId="54"/>
    <cellStyle name="Обычный 3 3" xfId="55"/>
    <cellStyle name="Обычный 4" xfId="8"/>
    <cellStyle name="Обычный 4 2" xfId="19"/>
    <cellStyle name="Обычный 5" xfId="9"/>
    <cellStyle name="Обычный 5 2" xfId="20"/>
    <cellStyle name="Обычный 5 2 2" xfId="31"/>
    <cellStyle name="Обычный 5 3" xfId="23"/>
    <cellStyle name="Обычный 5 3 2" xfId="32"/>
    <cellStyle name="Обычный 5 4" xfId="25"/>
    <cellStyle name="Обычный 5 4 2" xfId="33"/>
    <cellStyle name="Обычный 5 5" xfId="27"/>
    <cellStyle name="Обычный 5 5 2" xfId="35"/>
    <cellStyle name="Обычный 5 6" xfId="29"/>
    <cellStyle name="Обычный 6" xfId="17"/>
    <cellStyle name="Обычный 6 2" xfId="26"/>
    <cellStyle name="Обычный 6 2 2" xfId="34"/>
    <cellStyle name="Обычный 6 3" xfId="28"/>
    <cellStyle name="Обычный 6 3 2" xfId="36"/>
    <cellStyle name="Обычный 6 4" xfId="30"/>
    <cellStyle name="Обычный 7" xfId="37"/>
    <cellStyle name="Обычный 8" xfId="60"/>
    <cellStyle name="Обычный_SMETA_1" xfId="10"/>
    <cellStyle name="Обычный_SMETA_1 2" xfId="22"/>
    <cellStyle name="Обычный_дендрология 2009 и 2010 г." xfId="11"/>
    <cellStyle name="Обычный_Обследования НИИОСП" xfId="12"/>
    <cellStyle name="Обычный_Расчет стоимости_Исаковского_16.03.12_по зам." xfId="58"/>
    <cellStyle name="Обычный_ФИЛИАЛ №4 ТВВ Лагутенкова" xfId="13"/>
    <cellStyle name="Процентный 2" xfId="14"/>
    <cellStyle name="Процентный 2 2" xfId="21"/>
    <cellStyle name="Процентный 3" xfId="38"/>
    <cellStyle name="Стиль 1" xfId="15"/>
    <cellStyle name="Финансовый" xfId="59" builtinId="3"/>
    <cellStyle name="Финансовый 2" xfId="16"/>
    <cellStyle name="Финансовый 2 2" xfId="56"/>
    <cellStyle name="Финансовый 2 3" xfId="62"/>
    <cellStyle name="Финансовый 3" xfId="57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1238250</xdr:colOff>
      <xdr:row>6</xdr:row>
      <xdr:rowOff>116417</xdr:rowOff>
    </xdr:from>
    <xdr:to>
      <xdr:col>13</xdr:col>
      <xdr:colOff>385233</xdr:colOff>
      <xdr:row>19</xdr:row>
      <xdr:rowOff>783431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78583" y="1322917"/>
          <a:ext cx="4152900" cy="5831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120</xdr:row>
      <xdr:rowOff>0</xdr:rowOff>
    </xdr:from>
    <xdr:to>
      <xdr:col>3</xdr:col>
      <xdr:colOff>485775</xdr:colOff>
      <xdr:row>120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04775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1047750</xdr:colOff>
      <xdr:row>120</xdr:row>
      <xdr:rowOff>0</xdr:rowOff>
    </xdr:from>
    <xdr:to>
      <xdr:col>3</xdr:col>
      <xdr:colOff>733425</xdr:colOff>
      <xdr:row>120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954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857250</xdr:colOff>
      <xdr:row>120</xdr:row>
      <xdr:rowOff>0</xdr:rowOff>
    </xdr:from>
    <xdr:to>
      <xdr:col>3</xdr:col>
      <xdr:colOff>542925</xdr:colOff>
      <xdr:row>120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11049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120</xdr:row>
      <xdr:rowOff>0</xdr:rowOff>
    </xdr:from>
    <xdr:to>
      <xdr:col>3</xdr:col>
      <xdr:colOff>533400</xdr:colOff>
      <xdr:row>120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10953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120</xdr:row>
      <xdr:rowOff>0</xdr:rowOff>
    </xdr:from>
    <xdr:to>
      <xdr:col>3</xdr:col>
      <xdr:colOff>419100</xdr:colOff>
      <xdr:row>120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9810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695325</xdr:colOff>
      <xdr:row>120</xdr:row>
      <xdr:rowOff>0</xdr:rowOff>
    </xdr:from>
    <xdr:to>
      <xdr:col>3</xdr:col>
      <xdr:colOff>381000</xdr:colOff>
      <xdr:row>120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9429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1000125</xdr:colOff>
      <xdr:row>120</xdr:row>
      <xdr:rowOff>0</xdr:rowOff>
    </xdr:from>
    <xdr:to>
      <xdr:col>1</xdr:col>
      <xdr:colOff>1009650</xdr:colOff>
      <xdr:row>120</xdr:row>
      <xdr:rowOff>0</xdr:rowOff>
    </xdr:to>
    <xdr:sp macro="" textlink="">
      <xdr:nvSpPr>
        <xdr:cNvPr id="10" name="Line 13"/>
        <xdr:cNvSpPr>
          <a:spLocks noChangeShapeType="1"/>
        </xdr:cNvSpPr>
      </xdr:nvSpPr>
      <xdr:spPr bwMode="auto">
        <a:xfrm flipV="1">
          <a:off x="1247775" y="373856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120</xdr:row>
      <xdr:rowOff>0</xdr:rowOff>
    </xdr:from>
    <xdr:to>
      <xdr:col>3</xdr:col>
      <xdr:colOff>485775</xdr:colOff>
      <xdr:row>120</xdr:row>
      <xdr:rowOff>0</xdr:rowOff>
    </xdr:to>
    <xdr:sp macro="" textlink="">
      <xdr:nvSpPr>
        <xdr:cNvPr id="11" name="Line 14"/>
        <xdr:cNvSpPr>
          <a:spLocks noChangeShapeType="1"/>
        </xdr:cNvSpPr>
      </xdr:nvSpPr>
      <xdr:spPr bwMode="auto">
        <a:xfrm>
          <a:off x="104775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1047750</xdr:colOff>
      <xdr:row>120</xdr:row>
      <xdr:rowOff>0</xdr:rowOff>
    </xdr:from>
    <xdr:to>
      <xdr:col>3</xdr:col>
      <xdr:colOff>733425</xdr:colOff>
      <xdr:row>120</xdr:row>
      <xdr:rowOff>0</xdr:rowOff>
    </xdr:to>
    <xdr:sp macro="" textlink="">
      <xdr:nvSpPr>
        <xdr:cNvPr id="12" name="Line 15"/>
        <xdr:cNvSpPr>
          <a:spLocks noChangeShapeType="1"/>
        </xdr:cNvSpPr>
      </xdr:nvSpPr>
      <xdr:spPr bwMode="auto">
        <a:xfrm>
          <a:off x="12954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13" name="Line 16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14" name="Line 17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857250</xdr:colOff>
      <xdr:row>120</xdr:row>
      <xdr:rowOff>0</xdr:rowOff>
    </xdr:from>
    <xdr:to>
      <xdr:col>3</xdr:col>
      <xdr:colOff>542925</xdr:colOff>
      <xdr:row>120</xdr:row>
      <xdr:rowOff>0</xdr:rowOff>
    </xdr:to>
    <xdr:sp macro="" textlink="">
      <xdr:nvSpPr>
        <xdr:cNvPr id="15" name="Line 18"/>
        <xdr:cNvSpPr>
          <a:spLocks noChangeShapeType="1"/>
        </xdr:cNvSpPr>
      </xdr:nvSpPr>
      <xdr:spPr bwMode="auto">
        <a:xfrm>
          <a:off x="11049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120</xdr:row>
      <xdr:rowOff>0</xdr:rowOff>
    </xdr:from>
    <xdr:to>
      <xdr:col>3</xdr:col>
      <xdr:colOff>533400</xdr:colOff>
      <xdr:row>120</xdr:row>
      <xdr:rowOff>0</xdr:rowOff>
    </xdr:to>
    <xdr:sp macro="" textlink="">
      <xdr:nvSpPr>
        <xdr:cNvPr id="16" name="Line 19"/>
        <xdr:cNvSpPr>
          <a:spLocks noChangeShapeType="1"/>
        </xdr:cNvSpPr>
      </xdr:nvSpPr>
      <xdr:spPr bwMode="auto">
        <a:xfrm>
          <a:off x="10953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120</xdr:row>
      <xdr:rowOff>0</xdr:rowOff>
    </xdr:from>
    <xdr:to>
      <xdr:col>3</xdr:col>
      <xdr:colOff>419100</xdr:colOff>
      <xdr:row>120</xdr:row>
      <xdr:rowOff>0</xdr:rowOff>
    </xdr:to>
    <xdr:sp macro="" textlink="">
      <xdr:nvSpPr>
        <xdr:cNvPr id="17" name="Line 20"/>
        <xdr:cNvSpPr>
          <a:spLocks noChangeShapeType="1"/>
        </xdr:cNvSpPr>
      </xdr:nvSpPr>
      <xdr:spPr bwMode="auto">
        <a:xfrm>
          <a:off x="9810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695325</xdr:colOff>
      <xdr:row>120</xdr:row>
      <xdr:rowOff>0</xdr:rowOff>
    </xdr:from>
    <xdr:to>
      <xdr:col>3</xdr:col>
      <xdr:colOff>381000</xdr:colOff>
      <xdr:row>120</xdr:row>
      <xdr:rowOff>0</xdr:rowOff>
    </xdr:to>
    <xdr:sp macro="" textlink="">
      <xdr:nvSpPr>
        <xdr:cNvPr id="18" name="Line 21"/>
        <xdr:cNvSpPr>
          <a:spLocks noChangeShapeType="1"/>
        </xdr:cNvSpPr>
      </xdr:nvSpPr>
      <xdr:spPr bwMode="auto">
        <a:xfrm>
          <a:off x="9429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1000125</xdr:colOff>
      <xdr:row>120</xdr:row>
      <xdr:rowOff>0</xdr:rowOff>
    </xdr:from>
    <xdr:to>
      <xdr:col>1</xdr:col>
      <xdr:colOff>1009650</xdr:colOff>
      <xdr:row>120</xdr:row>
      <xdr:rowOff>0</xdr:rowOff>
    </xdr:to>
    <xdr:sp macro="" textlink="">
      <xdr:nvSpPr>
        <xdr:cNvPr id="19" name="Line 26"/>
        <xdr:cNvSpPr>
          <a:spLocks noChangeShapeType="1"/>
        </xdr:cNvSpPr>
      </xdr:nvSpPr>
      <xdr:spPr bwMode="auto">
        <a:xfrm flipV="1">
          <a:off x="1247775" y="373856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utova_M_N/AppData/Local/Microsoft/Windows/Temporary%20Internet%20Files/Content.Outlook/9PW3Y4RV/&#1057;&#1090;&#1086;&#1088;&#1086;&#1078;&#1077;&#1074;&#1072;&#1103;%2018%20&#1088;.&#1089;&#1077;&#1090;&#1100;+&#1054;&#1041;&#1057;&#1051;/&#1057;&#1090;&#1086;&#1088;&#1086;&#1078;&#1077;&#1074;&#1072;&#1103;%2018%20&#1088;%20&#1089;&#1077;&#1090;&#1100;+&#1054;&#1041;&#1057;&#1051;&#1045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.08.16 ССР"/>
      <sheetName val="Сеть "/>
      <sheetName val="Ввод-вывод"/>
      <sheetName val="ООС (ТР)"/>
      <sheetName val="согласования"/>
      <sheetName val="обслед"/>
      <sheetName val="шурф"/>
      <sheetName val="оцен влиян"/>
      <sheetName val="мониторинг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0">
          <cell r="D10" t="str">
            <v>г.Москва, Сторожевая ул., д.18 (пристройка)</v>
          </cell>
        </row>
        <row r="21">
          <cell r="G21">
            <v>2.5</v>
          </cell>
        </row>
      </sheetData>
      <sheetData sheetId="6">
        <row r="17">
          <cell r="H17">
            <v>5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view="pageBreakPreview" topLeftCell="A10" zoomScaleNormal="100" zoomScaleSheetLayoutView="100" workbookViewId="0">
      <selection activeCell="D34" sqref="D34"/>
    </sheetView>
  </sheetViews>
  <sheetFormatPr defaultColWidth="9.140625" defaultRowHeight="15" x14ac:dyDescent="0.2"/>
  <cols>
    <col min="1" max="1" width="4.7109375" style="377" customWidth="1"/>
    <col min="2" max="2" width="44.85546875" style="377" customWidth="1"/>
    <col min="3" max="3" width="17.7109375" style="3" customWidth="1"/>
    <col min="4" max="4" width="21.42578125" style="377" customWidth="1"/>
    <col min="5" max="5" width="17.7109375" style="380" customWidth="1"/>
    <col min="6" max="6" width="23.85546875" style="377" customWidth="1"/>
    <col min="7" max="7" width="16.5703125" style="377" customWidth="1"/>
    <col min="8" max="16384" width="9.140625" style="377"/>
  </cols>
  <sheetData>
    <row r="1" spans="1:12" s="375" customFormat="1" ht="18" customHeight="1" x14ac:dyDescent="0.2">
      <c r="C1" s="364" t="s">
        <v>48</v>
      </c>
      <c r="E1" s="376"/>
    </row>
    <row r="2" spans="1:12" s="375" customFormat="1" ht="18" customHeight="1" x14ac:dyDescent="0.2">
      <c r="C2" s="363" t="s">
        <v>188</v>
      </c>
      <c r="E2" s="376"/>
    </row>
    <row r="3" spans="1:12" s="375" customFormat="1" ht="18" customHeight="1" x14ac:dyDescent="0.2">
      <c r="B3" s="363"/>
      <c r="C3" s="363" t="s">
        <v>189</v>
      </c>
      <c r="E3" s="376"/>
    </row>
    <row r="4" spans="1:12" x14ac:dyDescent="0.2">
      <c r="B4" s="378"/>
      <c r="C4" s="377"/>
      <c r="D4" s="379"/>
    </row>
    <row r="5" spans="1:12" x14ac:dyDescent="0.2">
      <c r="A5" s="1830" t="s">
        <v>49</v>
      </c>
      <c r="B5" s="1830"/>
      <c r="C5" s="1830"/>
      <c r="D5" s="1830"/>
    </row>
    <row r="6" spans="1:12" hidden="1" x14ac:dyDescent="0.2">
      <c r="A6" s="381"/>
      <c r="B6" s="381"/>
      <c r="C6" s="381"/>
      <c r="D6" s="381"/>
    </row>
    <row r="7" spans="1:12" s="17" customFormat="1" ht="60.75" customHeight="1" x14ac:dyDescent="0.2">
      <c r="A7" s="1831" t="s">
        <v>190</v>
      </c>
      <c r="B7" s="1832"/>
      <c r="C7" s="1832"/>
      <c r="D7" s="1832"/>
      <c r="E7" s="16"/>
    </row>
    <row r="8" spans="1:12" s="17" customFormat="1" ht="5.25" customHeight="1" x14ac:dyDescent="0.2">
      <c r="A8" s="18"/>
      <c r="B8" s="19"/>
      <c r="C8" s="19"/>
      <c r="D8" s="19"/>
      <c r="E8" s="16"/>
    </row>
    <row r="9" spans="1:12" ht="48" x14ac:dyDescent="0.2">
      <c r="A9" s="168" t="s">
        <v>19</v>
      </c>
      <c r="B9" s="168" t="s">
        <v>50</v>
      </c>
      <c r="C9" s="168" t="s">
        <v>142</v>
      </c>
      <c r="D9" s="168" t="s">
        <v>51</v>
      </c>
    </row>
    <row r="10" spans="1:12" x14ac:dyDescent="0.2">
      <c r="A10" s="50"/>
      <c r="B10" s="50" t="s">
        <v>52</v>
      </c>
      <c r="C10" s="50"/>
      <c r="D10" s="50"/>
    </row>
    <row r="11" spans="1:12" ht="15.75" x14ac:dyDescent="0.2">
      <c r="A11" s="53">
        <v>1</v>
      </c>
      <c r="B11" s="20" t="s">
        <v>542</v>
      </c>
      <c r="C11" s="53" t="s">
        <v>143</v>
      </c>
      <c r="D11" s="370">
        <f>экол!G17</f>
        <v>6059.12</v>
      </c>
      <c r="F11" s="382"/>
      <c r="G11" s="379"/>
      <c r="H11" s="379"/>
      <c r="I11" s="379"/>
      <c r="J11" s="379"/>
      <c r="K11" s="379"/>
      <c r="L11" s="383"/>
    </row>
    <row r="12" spans="1:12" ht="30" x14ac:dyDescent="0.2">
      <c r="A12" s="53">
        <v>2</v>
      </c>
      <c r="B12" s="20" t="s">
        <v>543</v>
      </c>
      <c r="C12" s="53"/>
      <c r="D12" s="370"/>
      <c r="F12" s="382"/>
      <c r="G12" s="379"/>
      <c r="H12" s="379"/>
      <c r="I12" s="379"/>
      <c r="J12" s="379"/>
      <c r="K12" s="379"/>
      <c r="L12" s="383"/>
    </row>
    <row r="13" spans="1:12" ht="30" x14ac:dyDescent="0.2">
      <c r="A13" s="53">
        <v>3</v>
      </c>
      <c r="B13" s="20" t="s">
        <v>544</v>
      </c>
      <c r="C13" s="53"/>
      <c r="D13" s="370"/>
      <c r="F13" s="382"/>
      <c r="G13" s="379"/>
      <c r="H13" s="379"/>
      <c r="I13" s="379"/>
      <c r="J13" s="379"/>
      <c r="K13" s="379"/>
      <c r="L13" s="383"/>
    </row>
    <row r="14" spans="1:12" ht="30" x14ac:dyDescent="0.2">
      <c r="A14" s="53">
        <v>4</v>
      </c>
      <c r="B14" s="20" t="s">
        <v>545</v>
      </c>
      <c r="C14" s="53"/>
      <c r="D14" s="370"/>
      <c r="F14" s="382"/>
      <c r="G14" s="379"/>
      <c r="H14" s="379"/>
      <c r="I14" s="379"/>
      <c r="J14" s="379"/>
      <c r="K14" s="379"/>
      <c r="L14" s="383"/>
    </row>
    <row r="15" spans="1:12" ht="21" customHeight="1" x14ac:dyDescent="0.2">
      <c r="A15" s="53">
        <v>5</v>
      </c>
      <c r="B15" s="20" t="s">
        <v>546</v>
      </c>
      <c r="C15" s="53"/>
      <c r="D15" s="370"/>
      <c r="F15" s="382"/>
      <c r="G15" s="379"/>
      <c r="H15" s="379"/>
      <c r="I15" s="379"/>
      <c r="J15" s="379"/>
      <c r="K15" s="379"/>
      <c r="L15" s="383"/>
    </row>
    <row r="16" spans="1:12" ht="15.75" x14ac:dyDescent="0.2">
      <c r="A16" s="384"/>
      <c r="B16" s="385" t="s">
        <v>53</v>
      </c>
      <c r="C16" s="385"/>
      <c r="D16" s="386">
        <f>SUM(D11:D11)</f>
        <v>6059.12</v>
      </c>
      <c r="E16" s="377"/>
    </row>
    <row r="17" spans="1:12" ht="15.75" x14ac:dyDescent="0.2">
      <c r="A17" s="53"/>
      <c r="B17" s="50" t="s">
        <v>54</v>
      </c>
      <c r="C17" s="53"/>
      <c r="D17" s="371"/>
      <c r="E17" s="379"/>
      <c r="F17" s="379"/>
      <c r="G17" s="1840"/>
      <c r="H17" s="1840"/>
      <c r="I17" s="1840"/>
      <c r="J17" s="1840"/>
    </row>
    <row r="18" spans="1:12" ht="15.75" x14ac:dyDescent="0.2">
      <c r="A18" s="53">
        <v>2</v>
      </c>
      <c r="B18" s="20" t="s">
        <v>55</v>
      </c>
      <c r="C18" s="53" t="s">
        <v>217</v>
      </c>
      <c r="D18" s="370">
        <f>Т.с.!H89+'вв-выводы'!E35</f>
        <v>453866.88</v>
      </c>
      <c r="F18" s="382"/>
      <c r="G18" s="379"/>
      <c r="H18" s="379"/>
      <c r="I18" s="379"/>
      <c r="J18" s="379"/>
      <c r="K18" s="379"/>
      <c r="L18" s="383"/>
    </row>
    <row r="19" spans="1:12" ht="15.75" x14ac:dyDescent="0.2">
      <c r="A19" s="53">
        <v>3</v>
      </c>
      <c r="B19" s="20" t="s">
        <v>56</v>
      </c>
      <c r="C19" s="53" t="s">
        <v>144</v>
      </c>
      <c r="D19" s="370">
        <f>'ООС+ТР'!H74</f>
        <v>72995.199999999997</v>
      </c>
    </row>
    <row r="20" spans="1:12" ht="15.75" x14ac:dyDescent="0.2">
      <c r="A20" s="53">
        <v>4</v>
      </c>
      <c r="B20" s="21" t="s">
        <v>61</v>
      </c>
      <c r="C20" s="53" t="s">
        <v>145</v>
      </c>
      <c r="D20" s="370">
        <f>ПОЖ!H17</f>
        <v>4500</v>
      </c>
      <c r="E20" s="387"/>
    </row>
    <row r="21" spans="1:12" ht="15.75" x14ac:dyDescent="0.2">
      <c r="A21" s="53">
        <v>5</v>
      </c>
      <c r="B21" s="49" t="s">
        <v>111</v>
      </c>
      <c r="C21" s="53" t="s">
        <v>147</v>
      </c>
      <c r="D21" s="370">
        <f>СОГЛ!G17</f>
        <v>49562.95</v>
      </c>
      <c r="E21" s="387"/>
    </row>
    <row r="22" spans="1:12" ht="15.75" x14ac:dyDescent="0.2">
      <c r="A22" s="53">
        <v>6</v>
      </c>
      <c r="B22" s="49" t="s">
        <v>122</v>
      </c>
      <c r="C22" s="53" t="s">
        <v>146</v>
      </c>
      <c r="D22" s="370">
        <f>РДП!H24</f>
        <v>67849.2</v>
      </c>
      <c r="E22" s="387"/>
    </row>
    <row r="23" spans="1:12" ht="15.75" x14ac:dyDescent="0.2">
      <c r="A23" s="53">
        <v>7</v>
      </c>
      <c r="B23" s="49" t="s">
        <v>290</v>
      </c>
      <c r="C23" s="53" t="s">
        <v>289</v>
      </c>
      <c r="D23" s="370">
        <f>'Перекладка '!H86</f>
        <v>0</v>
      </c>
      <c r="E23" s="387"/>
    </row>
    <row r="24" spans="1:12" ht="15.75" x14ac:dyDescent="0.2">
      <c r="A24" s="53"/>
      <c r="B24" s="385" t="s">
        <v>75</v>
      </c>
      <c r="C24" s="53"/>
      <c r="D24" s="371">
        <f>SUM(D18:D23)</f>
        <v>648774.22999999986</v>
      </c>
      <c r="E24" s="387"/>
    </row>
    <row r="25" spans="1:12" s="391" customFormat="1" ht="15.75" x14ac:dyDescent="0.2">
      <c r="A25" s="367"/>
      <c r="B25" s="1841" t="s">
        <v>64</v>
      </c>
      <c r="C25" s="1841"/>
      <c r="D25" s="372">
        <f>ROUND(D16+D24,2)</f>
        <v>654833.35</v>
      </c>
      <c r="E25" s="388"/>
      <c r="F25" s="389"/>
      <c r="G25" s="390"/>
    </row>
    <row r="26" spans="1:12" ht="15.75" x14ac:dyDescent="0.2">
      <c r="A26" s="1842" t="s">
        <v>65</v>
      </c>
      <c r="B26" s="1842"/>
      <c r="C26" s="1842"/>
      <c r="D26" s="373">
        <f>D16</f>
        <v>6059.12</v>
      </c>
      <c r="E26" s="392"/>
      <c r="F26" s="393"/>
      <c r="G26" s="394"/>
    </row>
    <row r="27" spans="1:12" s="5" customFormat="1" x14ac:dyDescent="0.2">
      <c r="D27" s="6"/>
      <c r="E27" s="7"/>
      <c r="G27" s="9"/>
      <c r="H27" s="8"/>
    </row>
    <row r="28" spans="1:12" s="5" customFormat="1" x14ac:dyDescent="0.2">
      <c r="D28" s="6"/>
      <c r="E28" s="7"/>
      <c r="G28" s="9"/>
      <c r="H28" s="8"/>
    </row>
    <row r="29" spans="1:12" s="5" customFormat="1" x14ac:dyDescent="0.2">
      <c r="D29" s="6"/>
      <c r="E29" s="7"/>
      <c r="G29" s="9"/>
      <c r="H29" s="8"/>
    </row>
    <row r="30" spans="1:12" s="395" customFormat="1" ht="23.25" customHeight="1" x14ac:dyDescent="0.2">
      <c r="A30" s="1839" t="s">
        <v>68</v>
      </c>
      <c r="B30" s="1839"/>
      <c r="C30" s="1839"/>
      <c r="D30" s="1839"/>
    </row>
    <row r="31" spans="1:12" s="397" customFormat="1" ht="30.75" customHeight="1" x14ac:dyDescent="0.2">
      <c r="A31" s="167" t="s">
        <v>19</v>
      </c>
      <c r="B31" s="167" t="s">
        <v>50</v>
      </c>
      <c r="C31" s="167" t="s">
        <v>78</v>
      </c>
      <c r="D31" s="167" t="s">
        <v>51</v>
      </c>
      <c r="E31" s="396"/>
    </row>
    <row r="32" spans="1:12" s="395" customFormat="1" ht="64.5" customHeight="1" x14ac:dyDescent="0.2">
      <c r="A32" s="12">
        <v>1</v>
      </c>
      <c r="B32" s="478" t="s">
        <v>162</v>
      </c>
      <c r="C32" s="12">
        <v>3.93</v>
      </c>
      <c r="D32" s="374"/>
    </row>
    <row r="33" spans="1:7" s="395" customFormat="1" ht="53.25" customHeight="1" x14ac:dyDescent="0.2">
      <c r="A33" s="12">
        <v>2</v>
      </c>
      <c r="B33" s="478" t="s">
        <v>163</v>
      </c>
      <c r="C33" s="12">
        <v>3.92</v>
      </c>
      <c r="D33" s="374"/>
    </row>
    <row r="34" spans="1:7" s="395" customFormat="1" ht="64.5" customHeight="1" x14ac:dyDescent="0.2">
      <c r="A34" s="12">
        <v>3</v>
      </c>
      <c r="B34" s="478" t="s">
        <v>223</v>
      </c>
      <c r="C34" s="12">
        <v>3.5049999999999999</v>
      </c>
      <c r="D34" s="374"/>
    </row>
    <row r="35" spans="1:7" ht="15" customHeight="1" x14ac:dyDescent="0.2">
      <c r="A35" s="1833" t="str">
        <f>CONCATENATE("изыскательские работы            ",D26,"х",C32)</f>
        <v>изыскательские работы            6059,12х3,93</v>
      </c>
      <c r="B35" s="1834"/>
      <c r="C35" s="1835"/>
      <c r="D35" s="368">
        <f>ROUND(D26*C32,2)</f>
        <v>23812.34</v>
      </c>
      <c r="E35" s="392"/>
      <c r="F35" s="393"/>
      <c r="G35" s="394"/>
    </row>
    <row r="36" spans="1:7" ht="15" customHeight="1" x14ac:dyDescent="0.2">
      <c r="A36" s="1836" t="str">
        <f>CONCATENATE("проектные работы    ","(",D18,"+",D19,"+",D20,"+",D21,")","х",C34," + ",D22,"х",C33,")")</f>
        <v>проектные работы    (453866,88+72995,2+4500+49562,95)х3,505 + 67849,2х3,92)</v>
      </c>
      <c r="B36" s="1837"/>
      <c r="C36" s="1838"/>
      <c r="D36" s="369">
        <f>ROUND((D18+D19+D20+D21)*C34+D22*C33,2)</f>
        <v>2302111.09</v>
      </c>
      <c r="E36" s="392"/>
      <c r="F36" s="393"/>
      <c r="G36" s="394"/>
    </row>
    <row r="37" spans="1:7" ht="15" customHeight="1" x14ac:dyDescent="0.2">
      <c r="A37" s="479"/>
      <c r="B37" s="694" t="s">
        <v>291</v>
      </c>
      <c r="C37" s="480"/>
      <c r="D37" s="369">
        <f>Т.с.!H98</f>
        <v>16693.13</v>
      </c>
      <c r="E37" s="392"/>
      <c r="F37" s="393"/>
      <c r="G37" s="394"/>
    </row>
    <row r="38" spans="1:7" s="395" customFormat="1" ht="15.75" x14ac:dyDescent="0.2">
      <c r="A38" s="366"/>
      <c r="B38" s="1829" t="s">
        <v>66</v>
      </c>
      <c r="C38" s="1829"/>
      <c r="D38" s="365">
        <f>ROUND(D35+D36+D37,2)</f>
        <v>2342616.56</v>
      </c>
    </row>
    <row r="39" spans="1:7" s="395" customFormat="1" ht="15.75" x14ac:dyDescent="0.2">
      <c r="A39" s="366"/>
      <c r="B39" s="1829" t="s">
        <v>1</v>
      </c>
      <c r="C39" s="1829"/>
      <c r="D39" s="365">
        <f>ROUND(D38*18%,2)</f>
        <v>421670.98</v>
      </c>
    </row>
    <row r="40" spans="1:7" s="395" customFormat="1" ht="15.75" x14ac:dyDescent="0.2">
      <c r="A40" s="366"/>
      <c r="B40" s="1829" t="s">
        <v>67</v>
      </c>
      <c r="C40" s="1829"/>
      <c r="D40" s="365">
        <f>ROUND(D38+D39,2)</f>
        <v>2764287.54</v>
      </c>
    </row>
    <row r="41" spans="1:7" s="397" customFormat="1" x14ac:dyDescent="0.2">
      <c r="A41" s="17"/>
      <c r="B41" s="22"/>
      <c r="C41" s="23"/>
      <c r="D41" s="24"/>
      <c r="E41" s="16"/>
    </row>
    <row r="42" spans="1:7" s="1" customFormat="1" x14ac:dyDescent="0.2">
      <c r="A42" s="17"/>
      <c r="B42" s="14"/>
      <c r="C42" s="17"/>
      <c r="D42" s="15"/>
      <c r="E42" s="10"/>
      <c r="G42" s="398"/>
    </row>
    <row r="43" spans="1:7" s="399" customFormat="1" x14ac:dyDescent="0.2">
      <c r="A43" s="17"/>
      <c r="B43" s="10"/>
      <c r="C43" s="17"/>
      <c r="D43" s="10"/>
      <c r="E43" s="11"/>
      <c r="F43" s="391"/>
    </row>
    <row r="44" spans="1:7" s="17" customFormat="1" x14ac:dyDescent="0.2">
      <c r="A44" s="1"/>
      <c r="B44" s="25"/>
      <c r="C44" s="1"/>
      <c r="D44" s="25"/>
      <c r="E44" s="26"/>
    </row>
    <row r="45" spans="1:7" s="17" customFormat="1" x14ac:dyDescent="0.2">
      <c r="A45" s="1"/>
      <c r="B45" s="27"/>
      <c r="C45" s="27"/>
      <c r="D45" s="400"/>
      <c r="E45" s="401"/>
    </row>
    <row r="46" spans="1:7" s="17" customFormat="1" x14ac:dyDescent="0.2">
      <c r="A46" s="1"/>
      <c r="B46" s="27"/>
      <c r="C46" s="27"/>
      <c r="D46" s="13"/>
      <c r="E46" s="401"/>
    </row>
    <row r="47" spans="1:7" s="17" customFormat="1" x14ac:dyDescent="0.2">
      <c r="A47" s="1"/>
      <c r="B47" s="27"/>
      <c r="C47" s="27"/>
      <c r="D47" s="13"/>
      <c r="E47" s="402"/>
    </row>
    <row r="48" spans="1:7" s="17" customFormat="1" x14ac:dyDescent="0.2">
      <c r="A48" s="1"/>
      <c r="B48" s="27"/>
      <c r="C48" s="27"/>
      <c r="D48" s="13"/>
      <c r="E48" s="401"/>
    </row>
    <row r="49" spans="1:5" x14ac:dyDescent="0.2">
      <c r="A49" s="17"/>
      <c r="B49" s="22"/>
      <c r="C49" s="23"/>
      <c r="D49" s="24"/>
      <c r="E49" s="16"/>
    </row>
    <row r="50" spans="1:5" x14ac:dyDescent="0.2">
      <c r="A50" s="17"/>
      <c r="B50" s="22"/>
      <c r="C50" s="23"/>
      <c r="D50" s="24"/>
      <c r="E50" s="16"/>
    </row>
    <row r="51" spans="1:5" x14ac:dyDescent="0.2">
      <c r="A51" s="17"/>
      <c r="B51" s="17"/>
      <c r="C51" s="28"/>
      <c r="D51" s="29"/>
      <c r="E51" s="16"/>
    </row>
    <row r="52" spans="1:5" x14ac:dyDescent="0.2">
      <c r="A52" s="2"/>
      <c r="D52" s="4"/>
    </row>
  </sheetData>
  <mergeCells count="11">
    <mergeCell ref="G17:J17"/>
    <mergeCell ref="B25:C25"/>
    <mergeCell ref="A26:C26"/>
    <mergeCell ref="B38:C38"/>
    <mergeCell ref="B39:C39"/>
    <mergeCell ref="B40:C40"/>
    <mergeCell ref="A5:D5"/>
    <mergeCell ref="A7:D7"/>
    <mergeCell ref="A35:C35"/>
    <mergeCell ref="A36:C36"/>
    <mergeCell ref="A30:D30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90" fitToHeight="0" orientation="portrait" r:id="rId1"/>
  <headerFooter alignWithMargins="0"/>
  <rowBreaks count="1" manualBreakCount="1">
    <brk id="41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6"/>
  <sheetViews>
    <sheetView view="pageBreakPreview" topLeftCell="A70" zoomScaleNormal="100" zoomScaleSheetLayoutView="100" workbookViewId="0">
      <selection activeCell="P18" sqref="P18"/>
    </sheetView>
  </sheetViews>
  <sheetFormatPr defaultRowHeight="15.75" x14ac:dyDescent="0.2"/>
  <cols>
    <col min="1" max="1" width="3.7109375" style="672" customWidth="1"/>
    <col min="2" max="2" width="28.140625" style="351" customWidth="1"/>
    <col min="3" max="3" width="8.85546875" style="351" customWidth="1"/>
    <col min="4" max="4" width="11.42578125" style="673" customWidth="1"/>
    <col min="5" max="5" width="34.5703125" style="351" customWidth="1"/>
    <col min="6" max="6" width="7.28515625" style="351" customWidth="1"/>
    <col min="7" max="7" width="21.7109375" style="674" customWidth="1"/>
    <col min="8" max="8" width="15.140625" style="672" customWidth="1"/>
    <col min="9" max="9" width="23.85546875" style="485" customWidth="1"/>
    <col min="10" max="256" width="9.140625" style="485"/>
    <col min="257" max="257" width="3.7109375" style="485" customWidth="1"/>
    <col min="258" max="258" width="28.140625" style="485" customWidth="1"/>
    <col min="259" max="259" width="8.85546875" style="485" customWidth="1"/>
    <col min="260" max="260" width="11.42578125" style="485" customWidth="1"/>
    <col min="261" max="261" width="34.5703125" style="485" customWidth="1"/>
    <col min="262" max="262" width="7.28515625" style="485" customWidth="1"/>
    <col min="263" max="263" width="21.7109375" style="485" customWidth="1"/>
    <col min="264" max="264" width="15.140625" style="485" customWidth="1"/>
    <col min="265" max="265" width="23.85546875" style="485" customWidth="1"/>
    <col min="266" max="512" width="9.140625" style="485"/>
    <col min="513" max="513" width="3.7109375" style="485" customWidth="1"/>
    <col min="514" max="514" width="28.140625" style="485" customWidth="1"/>
    <col min="515" max="515" width="8.85546875" style="485" customWidth="1"/>
    <col min="516" max="516" width="11.42578125" style="485" customWidth="1"/>
    <col min="517" max="517" width="34.5703125" style="485" customWidth="1"/>
    <col min="518" max="518" width="7.28515625" style="485" customWidth="1"/>
    <col min="519" max="519" width="21.7109375" style="485" customWidth="1"/>
    <col min="520" max="520" width="15.140625" style="485" customWidth="1"/>
    <col min="521" max="521" width="23.85546875" style="485" customWidth="1"/>
    <col min="522" max="768" width="9.140625" style="485"/>
    <col min="769" max="769" width="3.7109375" style="485" customWidth="1"/>
    <col min="770" max="770" width="28.140625" style="485" customWidth="1"/>
    <col min="771" max="771" width="8.85546875" style="485" customWidth="1"/>
    <col min="772" max="772" width="11.42578125" style="485" customWidth="1"/>
    <col min="773" max="773" width="34.5703125" style="485" customWidth="1"/>
    <col min="774" max="774" width="7.28515625" style="485" customWidth="1"/>
    <col min="775" max="775" width="21.7109375" style="485" customWidth="1"/>
    <col min="776" max="776" width="15.140625" style="485" customWidth="1"/>
    <col min="777" max="777" width="23.85546875" style="485" customWidth="1"/>
    <col min="778" max="1024" width="9.140625" style="485"/>
    <col min="1025" max="1025" width="3.7109375" style="485" customWidth="1"/>
    <col min="1026" max="1026" width="28.140625" style="485" customWidth="1"/>
    <col min="1027" max="1027" width="8.85546875" style="485" customWidth="1"/>
    <col min="1028" max="1028" width="11.42578125" style="485" customWidth="1"/>
    <col min="1029" max="1029" width="34.5703125" style="485" customWidth="1"/>
    <col min="1030" max="1030" width="7.28515625" style="485" customWidth="1"/>
    <col min="1031" max="1031" width="21.7109375" style="485" customWidth="1"/>
    <col min="1032" max="1032" width="15.140625" style="485" customWidth="1"/>
    <col min="1033" max="1033" width="23.85546875" style="485" customWidth="1"/>
    <col min="1034" max="1280" width="9.140625" style="485"/>
    <col min="1281" max="1281" width="3.7109375" style="485" customWidth="1"/>
    <col min="1282" max="1282" width="28.140625" style="485" customWidth="1"/>
    <col min="1283" max="1283" width="8.85546875" style="485" customWidth="1"/>
    <col min="1284" max="1284" width="11.42578125" style="485" customWidth="1"/>
    <col min="1285" max="1285" width="34.5703125" style="485" customWidth="1"/>
    <col min="1286" max="1286" width="7.28515625" style="485" customWidth="1"/>
    <col min="1287" max="1287" width="21.7109375" style="485" customWidth="1"/>
    <col min="1288" max="1288" width="15.140625" style="485" customWidth="1"/>
    <col min="1289" max="1289" width="23.85546875" style="485" customWidth="1"/>
    <col min="1290" max="1536" width="9.140625" style="485"/>
    <col min="1537" max="1537" width="3.7109375" style="485" customWidth="1"/>
    <col min="1538" max="1538" width="28.140625" style="485" customWidth="1"/>
    <col min="1539" max="1539" width="8.85546875" style="485" customWidth="1"/>
    <col min="1540" max="1540" width="11.42578125" style="485" customWidth="1"/>
    <col min="1541" max="1541" width="34.5703125" style="485" customWidth="1"/>
    <col min="1542" max="1542" width="7.28515625" style="485" customWidth="1"/>
    <col min="1543" max="1543" width="21.7109375" style="485" customWidth="1"/>
    <col min="1544" max="1544" width="15.140625" style="485" customWidth="1"/>
    <col min="1545" max="1545" width="23.85546875" style="485" customWidth="1"/>
    <col min="1546" max="1792" width="9.140625" style="485"/>
    <col min="1793" max="1793" width="3.7109375" style="485" customWidth="1"/>
    <col min="1794" max="1794" width="28.140625" style="485" customWidth="1"/>
    <col min="1795" max="1795" width="8.85546875" style="485" customWidth="1"/>
    <col min="1796" max="1796" width="11.42578125" style="485" customWidth="1"/>
    <col min="1797" max="1797" width="34.5703125" style="485" customWidth="1"/>
    <col min="1798" max="1798" width="7.28515625" style="485" customWidth="1"/>
    <col min="1799" max="1799" width="21.7109375" style="485" customWidth="1"/>
    <col min="1800" max="1800" width="15.140625" style="485" customWidth="1"/>
    <col min="1801" max="1801" width="23.85546875" style="485" customWidth="1"/>
    <col min="1802" max="2048" width="9.140625" style="485"/>
    <col min="2049" max="2049" width="3.7109375" style="485" customWidth="1"/>
    <col min="2050" max="2050" width="28.140625" style="485" customWidth="1"/>
    <col min="2051" max="2051" width="8.85546875" style="485" customWidth="1"/>
    <col min="2052" max="2052" width="11.42578125" style="485" customWidth="1"/>
    <col min="2053" max="2053" width="34.5703125" style="485" customWidth="1"/>
    <col min="2054" max="2054" width="7.28515625" style="485" customWidth="1"/>
    <col min="2055" max="2055" width="21.7109375" style="485" customWidth="1"/>
    <col min="2056" max="2056" width="15.140625" style="485" customWidth="1"/>
    <col min="2057" max="2057" width="23.85546875" style="485" customWidth="1"/>
    <col min="2058" max="2304" width="9.140625" style="485"/>
    <col min="2305" max="2305" width="3.7109375" style="485" customWidth="1"/>
    <col min="2306" max="2306" width="28.140625" style="485" customWidth="1"/>
    <col min="2307" max="2307" width="8.85546875" style="485" customWidth="1"/>
    <col min="2308" max="2308" width="11.42578125" style="485" customWidth="1"/>
    <col min="2309" max="2309" width="34.5703125" style="485" customWidth="1"/>
    <col min="2310" max="2310" width="7.28515625" style="485" customWidth="1"/>
    <col min="2311" max="2311" width="21.7109375" style="485" customWidth="1"/>
    <col min="2312" max="2312" width="15.140625" style="485" customWidth="1"/>
    <col min="2313" max="2313" width="23.85546875" style="485" customWidth="1"/>
    <col min="2314" max="2560" width="9.140625" style="485"/>
    <col min="2561" max="2561" width="3.7109375" style="485" customWidth="1"/>
    <col min="2562" max="2562" width="28.140625" style="485" customWidth="1"/>
    <col min="2563" max="2563" width="8.85546875" style="485" customWidth="1"/>
    <col min="2564" max="2564" width="11.42578125" style="485" customWidth="1"/>
    <col min="2565" max="2565" width="34.5703125" style="485" customWidth="1"/>
    <col min="2566" max="2566" width="7.28515625" style="485" customWidth="1"/>
    <col min="2567" max="2567" width="21.7109375" style="485" customWidth="1"/>
    <col min="2568" max="2568" width="15.140625" style="485" customWidth="1"/>
    <col min="2569" max="2569" width="23.85546875" style="485" customWidth="1"/>
    <col min="2570" max="2816" width="9.140625" style="485"/>
    <col min="2817" max="2817" width="3.7109375" style="485" customWidth="1"/>
    <col min="2818" max="2818" width="28.140625" style="485" customWidth="1"/>
    <col min="2819" max="2819" width="8.85546875" style="485" customWidth="1"/>
    <col min="2820" max="2820" width="11.42578125" style="485" customWidth="1"/>
    <col min="2821" max="2821" width="34.5703125" style="485" customWidth="1"/>
    <col min="2822" max="2822" width="7.28515625" style="485" customWidth="1"/>
    <col min="2823" max="2823" width="21.7109375" style="485" customWidth="1"/>
    <col min="2824" max="2824" width="15.140625" style="485" customWidth="1"/>
    <col min="2825" max="2825" width="23.85546875" style="485" customWidth="1"/>
    <col min="2826" max="3072" width="9.140625" style="485"/>
    <col min="3073" max="3073" width="3.7109375" style="485" customWidth="1"/>
    <col min="3074" max="3074" width="28.140625" style="485" customWidth="1"/>
    <col min="3075" max="3075" width="8.85546875" style="485" customWidth="1"/>
    <col min="3076" max="3076" width="11.42578125" style="485" customWidth="1"/>
    <col min="3077" max="3077" width="34.5703125" style="485" customWidth="1"/>
    <col min="3078" max="3078" width="7.28515625" style="485" customWidth="1"/>
    <col min="3079" max="3079" width="21.7109375" style="485" customWidth="1"/>
    <col min="3080" max="3080" width="15.140625" style="485" customWidth="1"/>
    <col min="3081" max="3081" width="23.85546875" style="485" customWidth="1"/>
    <col min="3082" max="3328" width="9.140625" style="485"/>
    <col min="3329" max="3329" width="3.7109375" style="485" customWidth="1"/>
    <col min="3330" max="3330" width="28.140625" style="485" customWidth="1"/>
    <col min="3331" max="3331" width="8.85546875" style="485" customWidth="1"/>
    <col min="3332" max="3332" width="11.42578125" style="485" customWidth="1"/>
    <col min="3333" max="3333" width="34.5703125" style="485" customWidth="1"/>
    <col min="3334" max="3334" width="7.28515625" style="485" customWidth="1"/>
    <col min="3335" max="3335" width="21.7109375" style="485" customWidth="1"/>
    <col min="3336" max="3336" width="15.140625" style="485" customWidth="1"/>
    <col min="3337" max="3337" width="23.85546875" style="485" customWidth="1"/>
    <col min="3338" max="3584" width="9.140625" style="485"/>
    <col min="3585" max="3585" width="3.7109375" style="485" customWidth="1"/>
    <col min="3586" max="3586" width="28.140625" style="485" customWidth="1"/>
    <col min="3587" max="3587" width="8.85546875" style="485" customWidth="1"/>
    <col min="3588" max="3588" width="11.42578125" style="485" customWidth="1"/>
    <col min="3589" max="3589" width="34.5703125" style="485" customWidth="1"/>
    <col min="3590" max="3590" width="7.28515625" style="485" customWidth="1"/>
    <col min="3591" max="3591" width="21.7109375" style="485" customWidth="1"/>
    <col min="3592" max="3592" width="15.140625" style="485" customWidth="1"/>
    <col min="3593" max="3593" width="23.85546875" style="485" customWidth="1"/>
    <col min="3594" max="3840" width="9.140625" style="485"/>
    <col min="3841" max="3841" width="3.7109375" style="485" customWidth="1"/>
    <col min="3842" max="3842" width="28.140625" style="485" customWidth="1"/>
    <col min="3843" max="3843" width="8.85546875" style="485" customWidth="1"/>
    <col min="3844" max="3844" width="11.42578125" style="485" customWidth="1"/>
    <col min="3845" max="3845" width="34.5703125" style="485" customWidth="1"/>
    <col min="3846" max="3846" width="7.28515625" style="485" customWidth="1"/>
    <col min="3847" max="3847" width="21.7109375" style="485" customWidth="1"/>
    <col min="3848" max="3848" width="15.140625" style="485" customWidth="1"/>
    <col min="3849" max="3849" width="23.85546875" style="485" customWidth="1"/>
    <col min="3850" max="4096" width="9.140625" style="485"/>
    <col min="4097" max="4097" width="3.7109375" style="485" customWidth="1"/>
    <col min="4098" max="4098" width="28.140625" style="485" customWidth="1"/>
    <col min="4099" max="4099" width="8.85546875" style="485" customWidth="1"/>
    <col min="4100" max="4100" width="11.42578125" style="485" customWidth="1"/>
    <col min="4101" max="4101" width="34.5703125" style="485" customWidth="1"/>
    <col min="4102" max="4102" width="7.28515625" style="485" customWidth="1"/>
    <col min="4103" max="4103" width="21.7109375" style="485" customWidth="1"/>
    <col min="4104" max="4104" width="15.140625" style="485" customWidth="1"/>
    <col min="4105" max="4105" width="23.85546875" style="485" customWidth="1"/>
    <col min="4106" max="4352" width="9.140625" style="485"/>
    <col min="4353" max="4353" width="3.7109375" style="485" customWidth="1"/>
    <col min="4354" max="4354" width="28.140625" style="485" customWidth="1"/>
    <col min="4355" max="4355" width="8.85546875" style="485" customWidth="1"/>
    <col min="4356" max="4356" width="11.42578125" style="485" customWidth="1"/>
    <col min="4357" max="4357" width="34.5703125" style="485" customWidth="1"/>
    <col min="4358" max="4358" width="7.28515625" style="485" customWidth="1"/>
    <col min="4359" max="4359" width="21.7109375" style="485" customWidth="1"/>
    <col min="4360" max="4360" width="15.140625" style="485" customWidth="1"/>
    <col min="4361" max="4361" width="23.85546875" style="485" customWidth="1"/>
    <col min="4362" max="4608" width="9.140625" style="485"/>
    <col min="4609" max="4609" width="3.7109375" style="485" customWidth="1"/>
    <col min="4610" max="4610" width="28.140625" style="485" customWidth="1"/>
    <col min="4611" max="4611" width="8.85546875" style="485" customWidth="1"/>
    <col min="4612" max="4612" width="11.42578125" style="485" customWidth="1"/>
    <col min="4613" max="4613" width="34.5703125" style="485" customWidth="1"/>
    <col min="4614" max="4614" width="7.28515625" style="485" customWidth="1"/>
    <col min="4615" max="4615" width="21.7109375" style="485" customWidth="1"/>
    <col min="4616" max="4616" width="15.140625" style="485" customWidth="1"/>
    <col min="4617" max="4617" width="23.85546875" style="485" customWidth="1"/>
    <col min="4618" max="4864" width="9.140625" style="485"/>
    <col min="4865" max="4865" width="3.7109375" style="485" customWidth="1"/>
    <col min="4866" max="4866" width="28.140625" style="485" customWidth="1"/>
    <col min="4867" max="4867" width="8.85546875" style="485" customWidth="1"/>
    <col min="4868" max="4868" width="11.42578125" style="485" customWidth="1"/>
    <col min="4869" max="4869" width="34.5703125" style="485" customWidth="1"/>
    <col min="4870" max="4870" width="7.28515625" style="485" customWidth="1"/>
    <col min="4871" max="4871" width="21.7109375" style="485" customWidth="1"/>
    <col min="4872" max="4872" width="15.140625" style="485" customWidth="1"/>
    <col min="4873" max="4873" width="23.85546875" style="485" customWidth="1"/>
    <col min="4874" max="5120" width="9.140625" style="485"/>
    <col min="5121" max="5121" width="3.7109375" style="485" customWidth="1"/>
    <col min="5122" max="5122" width="28.140625" style="485" customWidth="1"/>
    <col min="5123" max="5123" width="8.85546875" style="485" customWidth="1"/>
    <col min="5124" max="5124" width="11.42578125" style="485" customWidth="1"/>
    <col min="5125" max="5125" width="34.5703125" style="485" customWidth="1"/>
    <col min="5126" max="5126" width="7.28515625" style="485" customWidth="1"/>
    <col min="5127" max="5127" width="21.7109375" style="485" customWidth="1"/>
    <col min="5128" max="5128" width="15.140625" style="485" customWidth="1"/>
    <col min="5129" max="5129" width="23.85546875" style="485" customWidth="1"/>
    <col min="5130" max="5376" width="9.140625" style="485"/>
    <col min="5377" max="5377" width="3.7109375" style="485" customWidth="1"/>
    <col min="5378" max="5378" width="28.140625" style="485" customWidth="1"/>
    <col min="5379" max="5379" width="8.85546875" style="485" customWidth="1"/>
    <col min="5380" max="5380" width="11.42578125" style="485" customWidth="1"/>
    <col min="5381" max="5381" width="34.5703125" style="485" customWidth="1"/>
    <col min="5382" max="5382" width="7.28515625" style="485" customWidth="1"/>
    <col min="5383" max="5383" width="21.7109375" style="485" customWidth="1"/>
    <col min="5384" max="5384" width="15.140625" style="485" customWidth="1"/>
    <col min="5385" max="5385" width="23.85546875" style="485" customWidth="1"/>
    <col min="5386" max="5632" width="9.140625" style="485"/>
    <col min="5633" max="5633" width="3.7109375" style="485" customWidth="1"/>
    <col min="5634" max="5634" width="28.140625" style="485" customWidth="1"/>
    <col min="5635" max="5635" width="8.85546875" style="485" customWidth="1"/>
    <col min="5636" max="5636" width="11.42578125" style="485" customWidth="1"/>
    <col min="5637" max="5637" width="34.5703125" style="485" customWidth="1"/>
    <col min="5638" max="5638" width="7.28515625" style="485" customWidth="1"/>
    <col min="5639" max="5639" width="21.7109375" style="485" customWidth="1"/>
    <col min="5640" max="5640" width="15.140625" style="485" customWidth="1"/>
    <col min="5641" max="5641" width="23.85546875" style="485" customWidth="1"/>
    <col min="5642" max="5888" width="9.140625" style="485"/>
    <col min="5889" max="5889" width="3.7109375" style="485" customWidth="1"/>
    <col min="5890" max="5890" width="28.140625" style="485" customWidth="1"/>
    <col min="5891" max="5891" width="8.85546875" style="485" customWidth="1"/>
    <col min="5892" max="5892" width="11.42578125" style="485" customWidth="1"/>
    <col min="5893" max="5893" width="34.5703125" style="485" customWidth="1"/>
    <col min="5894" max="5894" width="7.28515625" style="485" customWidth="1"/>
    <col min="5895" max="5895" width="21.7109375" style="485" customWidth="1"/>
    <col min="5896" max="5896" width="15.140625" style="485" customWidth="1"/>
    <col min="5897" max="5897" width="23.85546875" style="485" customWidth="1"/>
    <col min="5898" max="6144" width="9.140625" style="485"/>
    <col min="6145" max="6145" width="3.7109375" style="485" customWidth="1"/>
    <col min="6146" max="6146" width="28.140625" style="485" customWidth="1"/>
    <col min="6147" max="6147" width="8.85546875" style="485" customWidth="1"/>
    <col min="6148" max="6148" width="11.42578125" style="485" customWidth="1"/>
    <col min="6149" max="6149" width="34.5703125" style="485" customWidth="1"/>
    <col min="6150" max="6150" width="7.28515625" style="485" customWidth="1"/>
    <col min="6151" max="6151" width="21.7109375" style="485" customWidth="1"/>
    <col min="6152" max="6152" width="15.140625" style="485" customWidth="1"/>
    <col min="6153" max="6153" width="23.85546875" style="485" customWidth="1"/>
    <col min="6154" max="6400" width="9.140625" style="485"/>
    <col min="6401" max="6401" width="3.7109375" style="485" customWidth="1"/>
    <col min="6402" max="6402" width="28.140625" style="485" customWidth="1"/>
    <col min="6403" max="6403" width="8.85546875" style="485" customWidth="1"/>
    <col min="6404" max="6404" width="11.42578125" style="485" customWidth="1"/>
    <col min="6405" max="6405" width="34.5703125" style="485" customWidth="1"/>
    <col min="6406" max="6406" width="7.28515625" style="485" customWidth="1"/>
    <col min="6407" max="6407" width="21.7109375" style="485" customWidth="1"/>
    <col min="6408" max="6408" width="15.140625" style="485" customWidth="1"/>
    <col min="6409" max="6409" width="23.85546875" style="485" customWidth="1"/>
    <col min="6410" max="6656" width="9.140625" style="485"/>
    <col min="6657" max="6657" width="3.7109375" style="485" customWidth="1"/>
    <col min="6658" max="6658" width="28.140625" style="485" customWidth="1"/>
    <col min="6659" max="6659" width="8.85546875" style="485" customWidth="1"/>
    <col min="6660" max="6660" width="11.42578125" style="485" customWidth="1"/>
    <col min="6661" max="6661" width="34.5703125" style="485" customWidth="1"/>
    <col min="6662" max="6662" width="7.28515625" style="485" customWidth="1"/>
    <col min="6663" max="6663" width="21.7109375" style="485" customWidth="1"/>
    <col min="6664" max="6664" width="15.140625" style="485" customWidth="1"/>
    <col min="6665" max="6665" width="23.85546875" style="485" customWidth="1"/>
    <col min="6666" max="6912" width="9.140625" style="485"/>
    <col min="6913" max="6913" width="3.7109375" style="485" customWidth="1"/>
    <col min="6914" max="6914" width="28.140625" style="485" customWidth="1"/>
    <col min="6915" max="6915" width="8.85546875" style="485" customWidth="1"/>
    <col min="6916" max="6916" width="11.42578125" style="485" customWidth="1"/>
    <col min="6917" max="6917" width="34.5703125" style="485" customWidth="1"/>
    <col min="6918" max="6918" width="7.28515625" style="485" customWidth="1"/>
    <col min="6919" max="6919" width="21.7109375" style="485" customWidth="1"/>
    <col min="6920" max="6920" width="15.140625" style="485" customWidth="1"/>
    <col min="6921" max="6921" width="23.85546875" style="485" customWidth="1"/>
    <col min="6922" max="7168" width="9.140625" style="485"/>
    <col min="7169" max="7169" width="3.7109375" style="485" customWidth="1"/>
    <col min="7170" max="7170" width="28.140625" style="485" customWidth="1"/>
    <col min="7171" max="7171" width="8.85546875" style="485" customWidth="1"/>
    <col min="7172" max="7172" width="11.42578125" style="485" customWidth="1"/>
    <col min="7173" max="7173" width="34.5703125" style="485" customWidth="1"/>
    <col min="7174" max="7174" width="7.28515625" style="485" customWidth="1"/>
    <col min="7175" max="7175" width="21.7109375" style="485" customWidth="1"/>
    <col min="7176" max="7176" width="15.140625" style="485" customWidth="1"/>
    <col min="7177" max="7177" width="23.85546875" style="485" customWidth="1"/>
    <col min="7178" max="7424" width="9.140625" style="485"/>
    <col min="7425" max="7425" width="3.7109375" style="485" customWidth="1"/>
    <col min="7426" max="7426" width="28.140625" style="485" customWidth="1"/>
    <col min="7427" max="7427" width="8.85546875" style="485" customWidth="1"/>
    <col min="7428" max="7428" width="11.42578125" style="485" customWidth="1"/>
    <col min="7429" max="7429" width="34.5703125" style="485" customWidth="1"/>
    <col min="7430" max="7430" width="7.28515625" style="485" customWidth="1"/>
    <col min="7431" max="7431" width="21.7109375" style="485" customWidth="1"/>
    <col min="7432" max="7432" width="15.140625" style="485" customWidth="1"/>
    <col min="7433" max="7433" width="23.85546875" style="485" customWidth="1"/>
    <col min="7434" max="7680" width="9.140625" style="485"/>
    <col min="7681" max="7681" width="3.7109375" style="485" customWidth="1"/>
    <col min="7682" max="7682" width="28.140625" style="485" customWidth="1"/>
    <col min="7683" max="7683" width="8.85546875" style="485" customWidth="1"/>
    <col min="7684" max="7684" width="11.42578125" style="485" customWidth="1"/>
    <col min="7685" max="7685" width="34.5703125" style="485" customWidth="1"/>
    <col min="7686" max="7686" width="7.28515625" style="485" customWidth="1"/>
    <col min="7687" max="7687" width="21.7109375" style="485" customWidth="1"/>
    <col min="7688" max="7688" width="15.140625" style="485" customWidth="1"/>
    <col min="7689" max="7689" width="23.85546875" style="485" customWidth="1"/>
    <col min="7690" max="7936" width="9.140625" style="485"/>
    <col min="7937" max="7937" width="3.7109375" style="485" customWidth="1"/>
    <col min="7938" max="7938" width="28.140625" style="485" customWidth="1"/>
    <col min="7939" max="7939" width="8.85546875" style="485" customWidth="1"/>
    <col min="7940" max="7940" width="11.42578125" style="485" customWidth="1"/>
    <col min="7941" max="7941" width="34.5703125" style="485" customWidth="1"/>
    <col min="7942" max="7942" width="7.28515625" style="485" customWidth="1"/>
    <col min="7943" max="7943" width="21.7109375" style="485" customWidth="1"/>
    <col min="7944" max="7944" width="15.140625" style="485" customWidth="1"/>
    <col min="7945" max="7945" width="23.85546875" style="485" customWidth="1"/>
    <col min="7946" max="8192" width="9.140625" style="485"/>
    <col min="8193" max="8193" width="3.7109375" style="485" customWidth="1"/>
    <col min="8194" max="8194" width="28.140625" style="485" customWidth="1"/>
    <col min="8195" max="8195" width="8.85546875" style="485" customWidth="1"/>
    <col min="8196" max="8196" width="11.42578125" style="485" customWidth="1"/>
    <col min="8197" max="8197" width="34.5703125" style="485" customWidth="1"/>
    <col min="8198" max="8198" width="7.28515625" style="485" customWidth="1"/>
    <col min="8199" max="8199" width="21.7109375" style="485" customWidth="1"/>
    <col min="8200" max="8200" width="15.140625" style="485" customWidth="1"/>
    <col min="8201" max="8201" width="23.85546875" style="485" customWidth="1"/>
    <col min="8202" max="8448" width="9.140625" style="485"/>
    <col min="8449" max="8449" width="3.7109375" style="485" customWidth="1"/>
    <col min="8450" max="8450" width="28.140625" style="485" customWidth="1"/>
    <col min="8451" max="8451" width="8.85546875" style="485" customWidth="1"/>
    <col min="8452" max="8452" width="11.42578125" style="485" customWidth="1"/>
    <col min="8453" max="8453" width="34.5703125" style="485" customWidth="1"/>
    <col min="8454" max="8454" width="7.28515625" style="485" customWidth="1"/>
    <col min="8455" max="8455" width="21.7109375" style="485" customWidth="1"/>
    <col min="8456" max="8456" width="15.140625" style="485" customWidth="1"/>
    <col min="8457" max="8457" width="23.85546875" style="485" customWidth="1"/>
    <col min="8458" max="8704" width="9.140625" style="485"/>
    <col min="8705" max="8705" width="3.7109375" style="485" customWidth="1"/>
    <col min="8706" max="8706" width="28.140625" style="485" customWidth="1"/>
    <col min="8707" max="8707" width="8.85546875" style="485" customWidth="1"/>
    <col min="8708" max="8708" width="11.42578125" style="485" customWidth="1"/>
    <col min="8709" max="8709" width="34.5703125" style="485" customWidth="1"/>
    <col min="8710" max="8710" width="7.28515625" style="485" customWidth="1"/>
    <col min="8711" max="8711" width="21.7109375" style="485" customWidth="1"/>
    <col min="8712" max="8712" width="15.140625" style="485" customWidth="1"/>
    <col min="8713" max="8713" width="23.85546875" style="485" customWidth="1"/>
    <col min="8714" max="8960" width="9.140625" style="485"/>
    <col min="8961" max="8961" width="3.7109375" style="485" customWidth="1"/>
    <col min="8962" max="8962" width="28.140625" style="485" customWidth="1"/>
    <col min="8963" max="8963" width="8.85546875" style="485" customWidth="1"/>
    <col min="8964" max="8964" width="11.42578125" style="485" customWidth="1"/>
    <col min="8965" max="8965" width="34.5703125" style="485" customWidth="1"/>
    <col min="8966" max="8966" width="7.28515625" style="485" customWidth="1"/>
    <col min="8967" max="8967" width="21.7109375" style="485" customWidth="1"/>
    <col min="8968" max="8968" width="15.140625" style="485" customWidth="1"/>
    <col min="8969" max="8969" width="23.85546875" style="485" customWidth="1"/>
    <col min="8970" max="9216" width="9.140625" style="485"/>
    <col min="9217" max="9217" width="3.7109375" style="485" customWidth="1"/>
    <col min="9218" max="9218" width="28.140625" style="485" customWidth="1"/>
    <col min="9219" max="9219" width="8.85546875" style="485" customWidth="1"/>
    <col min="9220" max="9220" width="11.42578125" style="485" customWidth="1"/>
    <col min="9221" max="9221" width="34.5703125" style="485" customWidth="1"/>
    <col min="9222" max="9222" width="7.28515625" style="485" customWidth="1"/>
    <col min="9223" max="9223" width="21.7109375" style="485" customWidth="1"/>
    <col min="9224" max="9224" width="15.140625" style="485" customWidth="1"/>
    <col min="9225" max="9225" width="23.85546875" style="485" customWidth="1"/>
    <col min="9226" max="9472" width="9.140625" style="485"/>
    <col min="9473" max="9473" width="3.7109375" style="485" customWidth="1"/>
    <col min="9474" max="9474" width="28.140625" style="485" customWidth="1"/>
    <col min="9475" max="9475" width="8.85546875" style="485" customWidth="1"/>
    <col min="9476" max="9476" width="11.42578125" style="485" customWidth="1"/>
    <col min="9477" max="9477" width="34.5703125" style="485" customWidth="1"/>
    <col min="9478" max="9478" width="7.28515625" style="485" customWidth="1"/>
    <col min="9479" max="9479" width="21.7109375" style="485" customWidth="1"/>
    <col min="9480" max="9480" width="15.140625" style="485" customWidth="1"/>
    <col min="9481" max="9481" width="23.85546875" style="485" customWidth="1"/>
    <col min="9482" max="9728" width="9.140625" style="485"/>
    <col min="9729" max="9729" width="3.7109375" style="485" customWidth="1"/>
    <col min="9730" max="9730" width="28.140625" style="485" customWidth="1"/>
    <col min="9731" max="9731" width="8.85546875" style="485" customWidth="1"/>
    <col min="9732" max="9732" width="11.42578125" style="485" customWidth="1"/>
    <col min="9733" max="9733" width="34.5703125" style="485" customWidth="1"/>
    <col min="9734" max="9734" width="7.28515625" style="485" customWidth="1"/>
    <col min="9735" max="9735" width="21.7109375" style="485" customWidth="1"/>
    <col min="9736" max="9736" width="15.140625" style="485" customWidth="1"/>
    <col min="9737" max="9737" width="23.85546875" style="485" customWidth="1"/>
    <col min="9738" max="9984" width="9.140625" style="485"/>
    <col min="9985" max="9985" width="3.7109375" style="485" customWidth="1"/>
    <col min="9986" max="9986" width="28.140625" style="485" customWidth="1"/>
    <col min="9987" max="9987" width="8.85546875" style="485" customWidth="1"/>
    <col min="9988" max="9988" width="11.42578125" style="485" customWidth="1"/>
    <col min="9989" max="9989" width="34.5703125" style="485" customWidth="1"/>
    <col min="9990" max="9990" width="7.28515625" style="485" customWidth="1"/>
    <col min="9991" max="9991" width="21.7109375" style="485" customWidth="1"/>
    <col min="9992" max="9992" width="15.140625" style="485" customWidth="1"/>
    <col min="9993" max="9993" width="23.85546875" style="485" customWidth="1"/>
    <col min="9994" max="10240" width="9.140625" style="485"/>
    <col min="10241" max="10241" width="3.7109375" style="485" customWidth="1"/>
    <col min="10242" max="10242" width="28.140625" style="485" customWidth="1"/>
    <col min="10243" max="10243" width="8.85546875" style="485" customWidth="1"/>
    <col min="10244" max="10244" width="11.42578125" style="485" customWidth="1"/>
    <col min="10245" max="10245" width="34.5703125" style="485" customWidth="1"/>
    <col min="10246" max="10246" width="7.28515625" style="485" customWidth="1"/>
    <col min="10247" max="10247" width="21.7109375" style="485" customWidth="1"/>
    <col min="10248" max="10248" width="15.140625" style="485" customWidth="1"/>
    <col min="10249" max="10249" width="23.85546875" style="485" customWidth="1"/>
    <col min="10250" max="10496" width="9.140625" style="485"/>
    <col min="10497" max="10497" width="3.7109375" style="485" customWidth="1"/>
    <col min="10498" max="10498" width="28.140625" style="485" customWidth="1"/>
    <col min="10499" max="10499" width="8.85546875" style="485" customWidth="1"/>
    <col min="10500" max="10500" width="11.42578125" style="485" customWidth="1"/>
    <col min="10501" max="10501" width="34.5703125" style="485" customWidth="1"/>
    <col min="10502" max="10502" width="7.28515625" style="485" customWidth="1"/>
    <col min="10503" max="10503" width="21.7109375" style="485" customWidth="1"/>
    <col min="10504" max="10504" width="15.140625" style="485" customWidth="1"/>
    <col min="10505" max="10505" width="23.85546875" style="485" customWidth="1"/>
    <col min="10506" max="10752" width="9.140625" style="485"/>
    <col min="10753" max="10753" width="3.7109375" style="485" customWidth="1"/>
    <col min="10754" max="10754" width="28.140625" style="485" customWidth="1"/>
    <col min="10755" max="10755" width="8.85546875" style="485" customWidth="1"/>
    <col min="10756" max="10756" width="11.42578125" style="485" customWidth="1"/>
    <col min="10757" max="10757" width="34.5703125" style="485" customWidth="1"/>
    <col min="10758" max="10758" width="7.28515625" style="485" customWidth="1"/>
    <col min="10759" max="10759" width="21.7109375" style="485" customWidth="1"/>
    <col min="10760" max="10760" width="15.140625" style="485" customWidth="1"/>
    <col min="10761" max="10761" width="23.85546875" style="485" customWidth="1"/>
    <col min="10762" max="11008" width="9.140625" style="485"/>
    <col min="11009" max="11009" width="3.7109375" style="485" customWidth="1"/>
    <col min="11010" max="11010" width="28.140625" style="485" customWidth="1"/>
    <col min="11011" max="11011" width="8.85546875" style="485" customWidth="1"/>
    <col min="11012" max="11012" width="11.42578125" style="485" customWidth="1"/>
    <col min="11013" max="11013" width="34.5703125" style="485" customWidth="1"/>
    <col min="11014" max="11014" width="7.28515625" style="485" customWidth="1"/>
    <col min="11015" max="11015" width="21.7109375" style="485" customWidth="1"/>
    <col min="11016" max="11016" width="15.140625" style="485" customWidth="1"/>
    <col min="11017" max="11017" width="23.85546875" style="485" customWidth="1"/>
    <col min="11018" max="11264" width="9.140625" style="485"/>
    <col min="11265" max="11265" width="3.7109375" style="485" customWidth="1"/>
    <col min="11266" max="11266" width="28.140625" style="485" customWidth="1"/>
    <col min="11267" max="11267" width="8.85546875" style="485" customWidth="1"/>
    <col min="11268" max="11268" width="11.42578125" style="485" customWidth="1"/>
    <col min="11269" max="11269" width="34.5703125" style="485" customWidth="1"/>
    <col min="11270" max="11270" width="7.28515625" style="485" customWidth="1"/>
    <col min="11271" max="11271" width="21.7109375" style="485" customWidth="1"/>
    <col min="11272" max="11272" width="15.140625" style="485" customWidth="1"/>
    <col min="11273" max="11273" width="23.85546875" style="485" customWidth="1"/>
    <col min="11274" max="11520" width="9.140625" style="485"/>
    <col min="11521" max="11521" width="3.7109375" style="485" customWidth="1"/>
    <col min="11522" max="11522" width="28.140625" style="485" customWidth="1"/>
    <col min="11523" max="11523" width="8.85546875" style="485" customWidth="1"/>
    <col min="11524" max="11524" width="11.42578125" style="485" customWidth="1"/>
    <col min="11525" max="11525" width="34.5703125" style="485" customWidth="1"/>
    <col min="11526" max="11526" width="7.28515625" style="485" customWidth="1"/>
    <col min="11527" max="11527" width="21.7109375" style="485" customWidth="1"/>
    <col min="11528" max="11528" width="15.140625" style="485" customWidth="1"/>
    <col min="11529" max="11529" width="23.85546875" style="485" customWidth="1"/>
    <col min="11530" max="11776" width="9.140625" style="485"/>
    <col min="11777" max="11777" width="3.7109375" style="485" customWidth="1"/>
    <col min="11778" max="11778" width="28.140625" style="485" customWidth="1"/>
    <col min="11779" max="11779" width="8.85546875" style="485" customWidth="1"/>
    <col min="11780" max="11780" width="11.42578125" style="485" customWidth="1"/>
    <col min="11781" max="11781" width="34.5703125" style="485" customWidth="1"/>
    <col min="11782" max="11782" width="7.28515625" style="485" customWidth="1"/>
    <col min="11783" max="11783" width="21.7109375" style="485" customWidth="1"/>
    <col min="11784" max="11784" width="15.140625" style="485" customWidth="1"/>
    <col min="11785" max="11785" width="23.85546875" style="485" customWidth="1"/>
    <col min="11786" max="12032" width="9.140625" style="485"/>
    <col min="12033" max="12033" width="3.7109375" style="485" customWidth="1"/>
    <col min="12034" max="12034" width="28.140625" style="485" customWidth="1"/>
    <col min="12035" max="12035" width="8.85546875" style="485" customWidth="1"/>
    <col min="12036" max="12036" width="11.42578125" style="485" customWidth="1"/>
    <col min="12037" max="12037" width="34.5703125" style="485" customWidth="1"/>
    <col min="12038" max="12038" width="7.28515625" style="485" customWidth="1"/>
    <col min="12039" max="12039" width="21.7109375" style="485" customWidth="1"/>
    <col min="12040" max="12040" width="15.140625" style="485" customWidth="1"/>
    <col min="12041" max="12041" width="23.85546875" style="485" customWidth="1"/>
    <col min="12042" max="12288" width="9.140625" style="485"/>
    <col min="12289" max="12289" width="3.7109375" style="485" customWidth="1"/>
    <col min="12290" max="12290" width="28.140625" style="485" customWidth="1"/>
    <col min="12291" max="12291" width="8.85546875" style="485" customWidth="1"/>
    <col min="12292" max="12292" width="11.42578125" style="485" customWidth="1"/>
    <col min="12293" max="12293" width="34.5703125" style="485" customWidth="1"/>
    <col min="12294" max="12294" width="7.28515625" style="485" customWidth="1"/>
    <col min="12295" max="12295" width="21.7109375" style="485" customWidth="1"/>
    <col min="12296" max="12296" width="15.140625" style="485" customWidth="1"/>
    <col min="12297" max="12297" width="23.85546875" style="485" customWidth="1"/>
    <col min="12298" max="12544" width="9.140625" style="485"/>
    <col min="12545" max="12545" width="3.7109375" style="485" customWidth="1"/>
    <col min="12546" max="12546" width="28.140625" style="485" customWidth="1"/>
    <col min="12547" max="12547" width="8.85546875" style="485" customWidth="1"/>
    <col min="12548" max="12548" width="11.42578125" style="485" customWidth="1"/>
    <col min="12549" max="12549" width="34.5703125" style="485" customWidth="1"/>
    <col min="12550" max="12550" width="7.28515625" style="485" customWidth="1"/>
    <col min="12551" max="12551" width="21.7109375" style="485" customWidth="1"/>
    <col min="12552" max="12552" width="15.140625" style="485" customWidth="1"/>
    <col min="12553" max="12553" width="23.85546875" style="485" customWidth="1"/>
    <col min="12554" max="12800" width="9.140625" style="485"/>
    <col min="12801" max="12801" width="3.7109375" style="485" customWidth="1"/>
    <col min="12802" max="12802" width="28.140625" style="485" customWidth="1"/>
    <col min="12803" max="12803" width="8.85546875" style="485" customWidth="1"/>
    <col min="12804" max="12804" width="11.42578125" style="485" customWidth="1"/>
    <col min="12805" max="12805" width="34.5703125" style="485" customWidth="1"/>
    <col min="12806" max="12806" width="7.28515625" style="485" customWidth="1"/>
    <col min="12807" max="12807" width="21.7109375" style="485" customWidth="1"/>
    <col min="12808" max="12808" width="15.140625" style="485" customWidth="1"/>
    <col min="12809" max="12809" width="23.85546875" style="485" customWidth="1"/>
    <col min="12810" max="13056" width="9.140625" style="485"/>
    <col min="13057" max="13057" width="3.7109375" style="485" customWidth="1"/>
    <col min="13058" max="13058" width="28.140625" style="485" customWidth="1"/>
    <col min="13059" max="13059" width="8.85546875" style="485" customWidth="1"/>
    <col min="13060" max="13060" width="11.42578125" style="485" customWidth="1"/>
    <col min="13061" max="13061" width="34.5703125" style="485" customWidth="1"/>
    <col min="13062" max="13062" width="7.28515625" style="485" customWidth="1"/>
    <col min="13063" max="13063" width="21.7109375" style="485" customWidth="1"/>
    <col min="13064" max="13064" width="15.140625" style="485" customWidth="1"/>
    <col min="13065" max="13065" width="23.85546875" style="485" customWidth="1"/>
    <col min="13066" max="13312" width="9.140625" style="485"/>
    <col min="13313" max="13313" width="3.7109375" style="485" customWidth="1"/>
    <col min="13314" max="13314" width="28.140625" style="485" customWidth="1"/>
    <col min="13315" max="13315" width="8.85546875" style="485" customWidth="1"/>
    <col min="13316" max="13316" width="11.42578125" style="485" customWidth="1"/>
    <col min="13317" max="13317" width="34.5703125" style="485" customWidth="1"/>
    <col min="13318" max="13318" width="7.28515625" style="485" customWidth="1"/>
    <col min="13319" max="13319" width="21.7109375" style="485" customWidth="1"/>
    <col min="13320" max="13320" width="15.140625" style="485" customWidth="1"/>
    <col min="13321" max="13321" width="23.85546875" style="485" customWidth="1"/>
    <col min="13322" max="13568" width="9.140625" style="485"/>
    <col min="13569" max="13569" width="3.7109375" style="485" customWidth="1"/>
    <col min="13570" max="13570" width="28.140625" style="485" customWidth="1"/>
    <col min="13571" max="13571" width="8.85546875" style="485" customWidth="1"/>
    <col min="13572" max="13572" width="11.42578125" style="485" customWidth="1"/>
    <col min="13573" max="13573" width="34.5703125" style="485" customWidth="1"/>
    <col min="13574" max="13574" width="7.28515625" style="485" customWidth="1"/>
    <col min="13575" max="13575" width="21.7109375" style="485" customWidth="1"/>
    <col min="13576" max="13576" width="15.140625" style="485" customWidth="1"/>
    <col min="13577" max="13577" width="23.85546875" style="485" customWidth="1"/>
    <col min="13578" max="13824" width="9.140625" style="485"/>
    <col min="13825" max="13825" width="3.7109375" style="485" customWidth="1"/>
    <col min="13826" max="13826" width="28.140625" style="485" customWidth="1"/>
    <col min="13827" max="13827" width="8.85546875" style="485" customWidth="1"/>
    <col min="13828" max="13828" width="11.42578125" style="485" customWidth="1"/>
    <col min="13829" max="13829" width="34.5703125" style="485" customWidth="1"/>
    <col min="13830" max="13830" width="7.28515625" style="485" customWidth="1"/>
    <col min="13831" max="13831" width="21.7109375" style="485" customWidth="1"/>
    <col min="13832" max="13832" width="15.140625" style="485" customWidth="1"/>
    <col min="13833" max="13833" width="23.85546875" style="485" customWidth="1"/>
    <col min="13834" max="14080" width="9.140625" style="485"/>
    <col min="14081" max="14081" width="3.7109375" style="485" customWidth="1"/>
    <col min="14082" max="14082" width="28.140625" style="485" customWidth="1"/>
    <col min="14083" max="14083" width="8.85546875" style="485" customWidth="1"/>
    <col min="14084" max="14084" width="11.42578125" style="485" customWidth="1"/>
    <col min="14085" max="14085" width="34.5703125" style="485" customWidth="1"/>
    <col min="14086" max="14086" width="7.28515625" style="485" customWidth="1"/>
    <col min="14087" max="14087" width="21.7109375" style="485" customWidth="1"/>
    <col min="14088" max="14088" width="15.140625" style="485" customWidth="1"/>
    <col min="14089" max="14089" width="23.85546875" style="485" customWidth="1"/>
    <col min="14090" max="14336" width="9.140625" style="485"/>
    <col min="14337" max="14337" width="3.7109375" style="485" customWidth="1"/>
    <col min="14338" max="14338" width="28.140625" style="485" customWidth="1"/>
    <col min="14339" max="14339" width="8.85546875" style="485" customWidth="1"/>
    <col min="14340" max="14340" width="11.42578125" style="485" customWidth="1"/>
    <col min="14341" max="14341" width="34.5703125" style="485" customWidth="1"/>
    <col min="14342" max="14342" width="7.28515625" style="485" customWidth="1"/>
    <col min="14343" max="14343" width="21.7109375" style="485" customWidth="1"/>
    <col min="14344" max="14344" width="15.140625" style="485" customWidth="1"/>
    <col min="14345" max="14345" width="23.85546875" style="485" customWidth="1"/>
    <col min="14346" max="14592" width="9.140625" style="485"/>
    <col min="14593" max="14593" width="3.7109375" style="485" customWidth="1"/>
    <col min="14594" max="14594" width="28.140625" style="485" customWidth="1"/>
    <col min="14595" max="14595" width="8.85546875" style="485" customWidth="1"/>
    <col min="14596" max="14596" width="11.42578125" style="485" customWidth="1"/>
    <col min="14597" max="14597" width="34.5703125" style="485" customWidth="1"/>
    <col min="14598" max="14598" width="7.28515625" style="485" customWidth="1"/>
    <col min="14599" max="14599" width="21.7109375" style="485" customWidth="1"/>
    <col min="14600" max="14600" width="15.140625" style="485" customWidth="1"/>
    <col min="14601" max="14601" width="23.85546875" style="485" customWidth="1"/>
    <col min="14602" max="14848" width="9.140625" style="485"/>
    <col min="14849" max="14849" width="3.7109375" style="485" customWidth="1"/>
    <col min="14850" max="14850" width="28.140625" style="485" customWidth="1"/>
    <col min="14851" max="14851" width="8.85546875" style="485" customWidth="1"/>
    <col min="14852" max="14852" width="11.42578125" style="485" customWidth="1"/>
    <col min="14853" max="14853" width="34.5703125" style="485" customWidth="1"/>
    <col min="14854" max="14854" width="7.28515625" style="485" customWidth="1"/>
    <col min="14855" max="14855" width="21.7109375" style="485" customWidth="1"/>
    <col min="14856" max="14856" width="15.140625" style="485" customWidth="1"/>
    <col min="14857" max="14857" width="23.85546875" style="485" customWidth="1"/>
    <col min="14858" max="15104" width="9.140625" style="485"/>
    <col min="15105" max="15105" width="3.7109375" style="485" customWidth="1"/>
    <col min="15106" max="15106" width="28.140625" style="485" customWidth="1"/>
    <col min="15107" max="15107" width="8.85546875" style="485" customWidth="1"/>
    <col min="15108" max="15108" width="11.42578125" style="485" customWidth="1"/>
    <col min="15109" max="15109" width="34.5703125" style="485" customWidth="1"/>
    <col min="15110" max="15110" width="7.28515625" style="485" customWidth="1"/>
    <col min="15111" max="15111" width="21.7109375" style="485" customWidth="1"/>
    <col min="15112" max="15112" width="15.140625" style="485" customWidth="1"/>
    <col min="15113" max="15113" width="23.85546875" style="485" customWidth="1"/>
    <col min="15114" max="15360" width="9.140625" style="485"/>
    <col min="15361" max="15361" width="3.7109375" style="485" customWidth="1"/>
    <col min="15362" max="15362" width="28.140625" style="485" customWidth="1"/>
    <col min="15363" max="15363" width="8.85546875" style="485" customWidth="1"/>
    <col min="15364" max="15364" width="11.42578125" style="485" customWidth="1"/>
    <col min="15365" max="15365" width="34.5703125" style="485" customWidth="1"/>
    <col min="15366" max="15366" width="7.28515625" style="485" customWidth="1"/>
    <col min="15367" max="15367" width="21.7109375" style="485" customWidth="1"/>
    <col min="15368" max="15368" width="15.140625" style="485" customWidth="1"/>
    <col min="15369" max="15369" width="23.85546875" style="485" customWidth="1"/>
    <col min="15370" max="15616" width="9.140625" style="485"/>
    <col min="15617" max="15617" width="3.7109375" style="485" customWidth="1"/>
    <col min="15618" max="15618" width="28.140625" style="485" customWidth="1"/>
    <col min="15619" max="15619" width="8.85546875" style="485" customWidth="1"/>
    <col min="15620" max="15620" width="11.42578125" style="485" customWidth="1"/>
    <col min="15621" max="15621" width="34.5703125" style="485" customWidth="1"/>
    <col min="15622" max="15622" width="7.28515625" style="485" customWidth="1"/>
    <col min="15623" max="15623" width="21.7109375" style="485" customWidth="1"/>
    <col min="15624" max="15624" width="15.140625" style="485" customWidth="1"/>
    <col min="15625" max="15625" width="23.85546875" style="485" customWidth="1"/>
    <col min="15626" max="15872" width="9.140625" style="485"/>
    <col min="15873" max="15873" width="3.7109375" style="485" customWidth="1"/>
    <col min="15874" max="15874" width="28.140625" style="485" customWidth="1"/>
    <col min="15875" max="15875" width="8.85546875" style="485" customWidth="1"/>
    <col min="15876" max="15876" width="11.42578125" style="485" customWidth="1"/>
    <col min="15877" max="15877" width="34.5703125" style="485" customWidth="1"/>
    <col min="15878" max="15878" width="7.28515625" style="485" customWidth="1"/>
    <col min="15879" max="15879" width="21.7109375" style="485" customWidth="1"/>
    <col min="15880" max="15880" width="15.140625" style="485" customWidth="1"/>
    <col min="15881" max="15881" width="23.85546875" style="485" customWidth="1"/>
    <col min="15882" max="16128" width="9.140625" style="485"/>
    <col min="16129" max="16129" width="3.7109375" style="485" customWidth="1"/>
    <col min="16130" max="16130" width="28.140625" style="485" customWidth="1"/>
    <col min="16131" max="16131" width="8.85546875" style="485" customWidth="1"/>
    <col min="16132" max="16132" width="11.42578125" style="485" customWidth="1"/>
    <col min="16133" max="16133" width="34.5703125" style="485" customWidth="1"/>
    <col min="16134" max="16134" width="7.28515625" style="485" customWidth="1"/>
    <col min="16135" max="16135" width="21.7109375" style="485" customWidth="1"/>
    <col min="16136" max="16136" width="15.140625" style="485" customWidth="1"/>
    <col min="16137" max="16137" width="23.85546875" style="485" customWidth="1"/>
    <col min="16138" max="16384" width="9.140625" style="485"/>
  </cols>
  <sheetData>
    <row r="1" spans="1:9" x14ac:dyDescent="0.2">
      <c r="A1" s="481"/>
      <c r="B1" s="482"/>
      <c r="C1" s="483"/>
      <c r="D1" s="481"/>
      <c r="E1" s="482"/>
      <c r="F1" s="484"/>
      <c r="G1" s="484"/>
      <c r="H1" s="484"/>
    </row>
    <row r="2" spans="1:9" x14ac:dyDescent="0.2">
      <c r="A2" s="481"/>
      <c r="B2" s="482"/>
      <c r="C2" s="483"/>
      <c r="D2" s="481"/>
      <c r="E2" s="482"/>
      <c r="F2" s="486"/>
      <c r="G2" s="487"/>
      <c r="H2" s="488"/>
    </row>
    <row r="3" spans="1:9" x14ac:dyDescent="0.2">
      <c r="A3" s="483"/>
      <c r="B3" s="484"/>
      <c r="C3" s="483"/>
      <c r="D3" s="489"/>
      <c r="E3" s="484"/>
      <c r="F3" s="490"/>
      <c r="G3" s="490"/>
      <c r="H3" s="490"/>
    </row>
    <row r="4" spans="1:9" x14ac:dyDescent="0.2">
      <c r="A4" s="483"/>
      <c r="B4" s="484"/>
      <c r="C4" s="483"/>
      <c r="D4" s="489"/>
      <c r="E4" s="484"/>
      <c r="F4" s="490"/>
      <c r="G4" s="490"/>
      <c r="H4" s="490"/>
    </row>
    <row r="5" spans="1:9" x14ac:dyDescent="0.2">
      <c r="A5" s="483"/>
      <c r="B5" s="484"/>
      <c r="C5" s="483"/>
      <c r="D5" s="489"/>
      <c r="E5" s="484"/>
      <c r="F5" s="491"/>
      <c r="G5" s="492"/>
      <c r="H5" s="493"/>
    </row>
    <row r="6" spans="1:9" ht="18.75" customHeight="1" x14ac:dyDescent="0.2">
      <c r="A6" s="2021" t="s">
        <v>553</v>
      </c>
      <c r="B6" s="2021"/>
      <c r="C6" s="2021"/>
      <c r="D6" s="2021"/>
      <c r="E6" s="2021"/>
      <c r="F6" s="2021"/>
      <c r="G6" s="2021"/>
      <c r="H6" s="2021"/>
    </row>
    <row r="7" spans="1:9" ht="57.75" customHeight="1" x14ac:dyDescent="0.2">
      <c r="A7" s="1984" t="str">
        <f>' ССР (нов)'!A6:G6</f>
        <v xml:space="preserve">Реконструкция теплового ввода </v>
      </c>
      <c r="B7" s="1984"/>
      <c r="C7" s="1984"/>
      <c r="D7" s="1984"/>
      <c r="E7" s="1984"/>
      <c r="F7" s="1984"/>
      <c r="G7" s="1984"/>
      <c r="H7" s="1984"/>
    </row>
    <row r="8" spans="1:9" ht="27.75" customHeight="1" x14ac:dyDescent="0.2">
      <c r="A8" s="1983" t="str">
        <f>' ССР (нов)'!A7:G7</f>
        <v>г. Москва , ул. Мневники д.4</v>
      </c>
      <c r="B8" s="1983"/>
      <c r="C8" s="1983"/>
      <c r="D8" s="1983"/>
      <c r="E8" s="1983"/>
      <c r="F8" s="1983"/>
      <c r="G8" s="1983"/>
      <c r="H8" s="1983"/>
    </row>
    <row r="9" spans="1:9" ht="30.75" customHeight="1" x14ac:dyDescent="0.2">
      <c r="A9" s="1983" t="s">
        <v>635</v>
      </c>
      <c r="B9" s="1983"/>
      <c r="C9" s="1983"/>
      <c r="D9" s="1983"/>
      <c r="E9" s="1983"/>
      <c r="F9" s="1983"/>
      <c r="G9" s="1983"/>
      <c r="H9" s="1983"/>
    </row>
    <row r="10" spans="1:9" ht="21" customHeight="1" thickBot="1" x14ac:dyDescent="0.25">
      <c r="A10" s="2022"/>
      <c r="B10" s="2022"/>
      <c r="C10" s="2022"/>
      <c r="D10" s="2022"/>
      <c r="E10" s="2022"/>
      <c r="F10" s="2022"/>
      <c r="G10" s="2022"/>
      <c r="H10" s="2022"/>
    </row>
    <row r="11" spans="1:9" x14ac:dyDescent="0.2">
      <c r="A11" s="2023" t="s">
        <v>101</v>
      </c>
      <c r="B11" s="2024"/>
      <c r="C11" s="2024"/>
      <c r="D11" s="2024"/>
      <c r="E11" s="2024"/>
      <c r="F11" s="2024"/>
      <c r="G11" s="2024"/>
      <c r="H11" s="2025"/>
    </row>
    <row r="12" spans="1:9" ht="16.5" thickBot="1" x14ac:dyDescent="0.25">
      <c r="A12" s="2013" t="s">
        <v>224</v>
      </c>
      <c r="B12" s="2014"/>
      <c r="C12" s="2014"/>
      <c r="D12" s="2014"/>
      <c r="E12" s="2014"/>
      <c r="F12" s="2014"/>
      <c r="G12" s="2014"/>
      <c r="H12" s="2015"/>
    </row>
    <row r="13" spans="1:9" ht="26.25" thickBot="1" x14ac:dyDescent="0.25">
      <c r="A13" s="494" t="s">
        <v>104</v>
      </c>
      <c r="B13" s="2016" t="s">
        <v>3</v>
      </c>
      <c r="C13" s="2017"/>
      <c r="D13" s="495" t="s">
        <v>9</v>
      </c>
      <c r="E13" s="494" t="s">
        <v>4</v>
      </c>
      <c r="F13" s="496" t="s">
        <v>5</v>
      </c>
      <c r="G13" s="497" t="s">
        <v>0</v>
      </c>
      <c r="H13" s="495" t="s">
        <v>6</v>
      </c>
    </row>
    <row r="14" spans="1:9" s="69" customFormat="1" ht="20.25" customHeight="1" thickBot="1" x14ac:dyDescent="0.25">
      <c r="A14" s="2018" t="s">
        <v>225</v>
      </c>
      <c r="B14" s="2019"/>
      <c r="C14" s="2019"/>
      <c r="D14" s="2019"/>
      <c r="E14" s="2019"/>
      <c r="F14" s="2019"/>
      <c r="G14" s="2019"/>
      <c r="H14" s="2020"/>
      <c r="I14" s="498"/>
    </row>
    <row r="15" spans="1:9" s="30" customFormat="1" ht="47.25" x14ac:dyDescent="0.2">
      <c r="A15" s="1997">
        <v>1</v>
      </c>
      <c r="B15" s="499" t="s">
        <v>226</v>
      </c>
      <c r="C15" s="567">
        <v>0</v>
      </c>
      <c r="D15" s="500">
        <f>C16+C15*C17</f>
        <v>0</v>
      </c>
      <c r="E15" s="501" t="s">
        <v>227</v>
      </c>
      <c r="F15" s="502">
        <v>1.4</v>
      </c>
      <c r="G15" s="503" t="str">
        <f>CONCATENATE(D15,"*",F15,"*",F16,"*",F17)</f>
        <v>0*1,4*1,4*0,6</v>
      </c>
      <c r="H15" s="504">
        <f>ROUND((D15*F15*F16*F17),2)</f>
        <v>0</v>
      </c>
    </row>
    <row r="16" spans="1:9" s="30" customFormat="1" ht="47.25" x14ac:dyDescent="0.2">
      <c r="A16" s="1998"/>
      <c r="B16" s="477" t="s">
        <v>228</v>
      </c>
      <c r="C16" s="505">
        <v>0</v>
      </c>
      <c r="D16" s="506"/>
      <c r="E16" s="1533" t="s">
        <v>674</v>
      </c>
      <c r="F16" s="1534">
        <v>1.4</v>
      </c>
      <c r="G16" s="508"/>
      <c r="H16" s="509"/>
    </row>
    <row r="17" spans="1:9" s="30" customFormat="1" ht="47.25" x14ac:dyDescent="0.2">
      <c r="A17" s="1998"/>
      <c r="B17" s="510" t="s">
        <v>12</v>
      </c>
      <c r="C17" s="511">
        <v>0</v>
      </c>
      <c r="D17" s="512"/>
      <c r="E17" s="513" t="s">
        <v>229</v>
      </c>
      <c r="F17" s="514">
        <v>0.6</v>
      </c>
      <c r="G17" s="515"/>
      <c r="H17" s="516"/>
    </row>
    <row r="18" spans="1:9" x14ac:dyDescent="0.2">
      <c r="A18" s="1998"/>
      <c r="B18" s="517" t="s">
        <v>230</v>
      </c>
      <c r="C18" s="518"/>
      <c r="D18" s="195"/>
      <c r="E18" s="192"/>
      <c r="F18" s="194"/>
      <c r="G18" s="519"/>
      <c r="H18" s="520"/>
    </row>
    <row r="19" spans="1:9" ht="31.5" x14ac:dyDescent="0.2">
      <c r="A19" s="1998"/>
      <c r="B19" s="507" t="s">
        <v>231</v>
      </c>
      <c r="C19" s="521">
        <v>0</v>
      </c>
      <c r="D19" s="522">
        <f>C20</f>
        <v>0</v>
      </c>
      <c r="E19" s="507" t="s">
        <v>232</v>
      </c>
      <c r="F19" s="523">
        <v>0.05</v>
      </c>
      <c r="G19" s="524" t="str">
        <f>CONCATENATE(D19,"*",F19)</f>
        <v>0*0,05</v>
      </c>
      <c r="H19" s="525">
        <f>IF((ROUND(D19*F19,2))&gt;6200,ROUND(D19*F19,2),6200)*0</f>
        <v>0</v>
      </c>
    </row>
    <row r="20" spans="1:9" x14ac:dyDescent="0.2">
      <c r="A20" s="1998"/>
      <c r="B20" s="477" t="s">
        <v>228</v>
      </c>
      <c r="C20" s="505">
        <f>C16</f>
        <v>0</v>
      </c>
      <c r="D20" s="522"/>
      <c r="E20" s="526"/>
      <c r="F20" s="526"/>
      <c r="G20" s="524"/>
      <c r="H20" s="527"/>
    </row>
    <row r="21" spans="1:9" s="30" customFormat="1" ht="16.5" thickBot="1" x14ac:dyDescent="0.25">
      <c r="A21" s="1999"/>
      <c r="B21" s="176" t="s">
        <v>12</v>
      </c>
      <c r="C21" s="528">
        <v>0</v>
      </c>
      <c r="D21" s="529"/>
      <c r="E21" s="205"/>
      <c r="F21" s="173"/>
      <c r="G21" s="530"/>
      <c r="H21" s="531"/>
    </row>
    <row r="22" spans="1:9" s="30" customFormat="1" ht="16.5" thickBot="1" x14ac:dyDescent="0.25">
      <c r="A22" s="532"/>
      <c r="B22" s="1988" t="s">
        <v>233</v>
      </c>
      <c r="C22" s="1989"/>
      <c r="D22" s="1989"/>
      <c r="E22" s="1989"/>
      <c r="F22" s="1989"/>
      <c r="G22" s="1990"/>
      <c r="H22" s="343">
        <f>SUM(H15:H20)</f>
        <v>0</v>
      </c>
      <c r="I22" s="31">
        <f>H19+H15</f>
        <v>0</v>
      </c>
    </row>
    <row r="23" spans="1:9" x14ac:dyDescent="0.2">
      <c r="A23" s="2007" t="s">
        <v>234</v>
      </c>
      <c r="B23" s="2008"/>
      <c r="C23" s="2008"/>
      <c r="D23" s="2008"/>
      <c r="E23" s="2008"/>
      <c r="F23" s="2008"/>
      <c r="G23" s="2008"/>
      <c r="H23" s="2009"/>
    </row>
    <row r="24" spans="1:9" ht="31.5" x14ac:dyDescent="0.2">
      <c r="A24" s="2010">
        <v>2</v>
      </c>
      <c r="B24" s="533" t="s">
        <v>235</v>
      </c>
      <c r="C24" s="534">
        <v>0</v>
      </c>
      <c r="D24" s="535">
        <f>C25+C26*C24</f>
        <v>0</v>
      </c>
      <c r="E24" s="536" t="s">
        <v>236</v>
      </c>
      <c r="F24" s="537">
        <v>1</v>
      </c>
      <c r="G24" s="538" t="str">
        <f>CONCATENATE("(",D24,"+",D24,"*",F27,"*",F26,")                *",F24,"*",F25)</f>
        <v>(0+0*0,3*2)                *1*0,8</v>
      </c>
      <c r="H24" s="539">
        <f>ROUND((D24+D24*F27*F26)*F24*F25,2)</f>
        <v>0</v>
      </c>
    </row>
    <row r="25" spans="1:9" ht="31.5" x14ac:dyDescent="0.2">
      <c r="A25" s="2011"/>
      <c r="B25" s="507" t="s">
        <v>237</v>
      </c>
      <c r="C25" s="505">
        <v>0</v>
      </c>
      <c r="D25" s="540"/>
      <c r="E25" s="541" t="s">
        <v>238</v>
      </c>
      <c r="F25" s="542">
        <v>0.8</v>
      </c>
      <c r="G25" s="543"/>
      <c r="H25" s="544"/>
    </row>
    <row r="26" spans="1:9" x14ac:dyDescent="0.2">
      <c r="A26" s="2011"/>
      <c r="B26" s="545" t="s">
        <v>239</v>
      </c>
      <c r="C26" s="507">
        <v>0</v>
      </c>
      <c r="D26" s="522"/>
      <c r="E26" s="507" t="s">
        <v>240</v>
      </c>
      <c r="F26" s="523">
        <v>2</v>
      </c>
      <c r="G26" s="524"/>
      <c r="H26" s="546"/>
    </row>
    <row r="27" spans="1:9" ht="47.25" x14ac:dyDescent="0.2">
      <c r="A27" s="2011"/>
      <c r="B27" s="547"/>
      <c r="C27" s="547"/>
      <c r="D27" s="548"/>
      <c r="E27" s="549" t="s">
        <v>241</v>
      </c>
      <c r="F27" s="550">
        <v>0.3</v>
      </c>
      <c r="G27" s="551"/>
      <c r="H27" s="552"/>
    </row>
    <row r="28" spans="1:9" ht="15.75" customHeight="1" x14ac:dyDescent="0.2">
      <c r="A28" s="2011"/>
      <c r="B28" s="517" t="s">
        <v>230</v>
      </c>
      <c r="C28" s="518"/>
      <c r="D28" s="195"/>
      <c r="E28" s="192"/>
      <c r="F28" s="194"/>
      <c r="G28" s="519"/>
      <c r="H28" s="520"/>
    </row>
    <row r="29" spans="1:9" ht="31.5" x14ac:dyDescent="0.2">
      <c r="A29" s="2011"/>
      <c r="B29" s="507" t="s">
        <v>242</v>
      </c>
      <c r="C29" s="521">
        <v>0</v>
      </c>
      <c r="D29" s="522">
        <f>C30+C31*C29</f>
        <v>0</v>
      </c>
      <c r="E29" s="507" t="s">
        <v>243</v>
      </c>
      <c r="F29" s="523">
        <v>1</v>
      </c>
      <c r="G29" s="524" t="str">
        <f>CONCATENATE("(",D29,"+",D29,"*",F26,"*",F27,")                         *",F29,"*",F32)</f>
        <v>(0+0*2*0,3)                         *1*0,05</v>
      </c>
      <c r="H29" s="525">
        <f>IF((ROUND((D29+D29*F31*F30)*F32*F29,2))&gt;6200,ROUND((D29+D29*F31*F30)*F32*F29,2),6200)*0</f>
        <v>0</v>
      </c>
    </row>
    <row r="30" spans="1:9" ht="47.25" x14ac:dyDescent="0.2">
      <c r="A30" s="2011"/>
      <c r="B30" s="507" t="s">
        <v>244</v>
      </c>
      <c r="C30" s="505">
        <v>0</v>
      </c>
      <c r="D30" s="522"/>
      <c r="E30" s="465" t="s">
        <v>241</v>
      </c>
      <c r="F30" s="523">
        <v>0.3</v>
      </c>
      <c r="G30" s="553"/>
      <c r="H30" s="527"/>
    </row>
    <row r="31" spans="1:9" x14ac:dyDescent="0.2">
      <c r="A31" s="2011"/>
      <c r="B31" s="545" t="s">
        <v>239</v>
      </c>
      <c r="C31" s="507">
        <v>0</v>
      </c>
      <c r="D31" s="522"/>
      <c r="E31" s="507" t="s">
        <v>240</v>
      </c>
      <c r="F31" s="523">
        <v>2</v>
      </c>
      <c r="G31" s="524"/>
      <c r="H31" s="554"/>
    </row>
    <row r="32" spans="1:9" ht="32.25" thickBot="1" x14ac:dyDescent="0.25">
      <c r="A32" s="555"/>
      <c r="B32" s="556"/>
      <c r="C32" s="557"/>
      <c r="D32" s="558"/>
      <c r="E32" s="559" t="s">
        <v>245</v>
      </c>
      <c r="F32" s="560">
        <v>0.05</v>
      </c>
      <c r="G32" s="561"/>
      <c r="H32" s="562"/>
    </row>
    <row r="33" spans="1:9" ht="16.5" thickBot="1" x14ac:dyDescent="0.25">
      <c r="A33" s="563"/>
      <c r="B33" s="1988" t="s">
        <v>246</v>
      </c>
      <c r="C33" s="1989"/>
      <c r="D33" s="1989"/>
      <c r="E33" s="1989"/>
      <c r="F33" s="1989"/>
      <c r="G33" s="1990"/>
      <c r="H33" s="564">
        <f>SUM(H23:H30)</f>
        <v>0</v>
      </c>
      <c r="I33" s="565"/>
    </row>
    <row r="34" spans="1:9" x14ac:dyDescent="0.2">
      <c r="A34" s="2007" t="s">
        <v>247</v>
      </c>
      <c r="B34" s="2008"/>
      <c r="C34" s="2008"/>
      <c r="D34" s="2008"/>
      <c r="E34" s="2008"/>
      <c r="F34" s="2008"/>
      <c r="G34" s="2008"/>
      <c r="H34" s="2009"/>
    </row>
    <row r="35" spans="1:9" ht="31.5" x14ac:dyDescent="0.2">
      <c r="A35" s="2010">
        <v>2</v>
      </c>
      <c r="B35" s="533" t="s">
        <v>248</v>
      </c>
      <c r="C35" s="534">
        <v>0</v>
      </c>
      <c r="D35" s="535">
        <f>C36+C37*C35</f>
        <v>0</v>
      </c>
      <c r="E35" s="536" t="s">
        <v>249</v>
      </c>
      <c r="F35" s="537">
        <v>0.8</v>
      </c>
      <c r="G35" s="538" t="str">
        <f>CONCATENATE("",D35,"*",F35)</f>
        <v>0*0,8</v>
      </c>
      <c r="H35" s="539">
        <f>ROUND(D35*F35,2)</f>
        <v>0</v>
      </c>
    </row>
    <row r="36" spans="1:9" ht="31.5" x14ac:dyDescent="0.2">
      <c r="A36" s="2011"/>
      <c r="B36" s="507" t="s">
        <v>237</v>
      </c>
      <c r="C36" s="505">
        <v>0</v>
      </c>
      <c r="D36" s="540"/>
      <c r="E36" s="541"/>
      <c r="F36" s="542"/>
      <c r="G36" s="543"/>
      <c r="H36" s="544"/>
    </row>
    <row r="37" spans="1:9" x14ac:dyDescent="0.2">
      <c r="A37" s="2011"/>
      <c r="B37" s="545" t="s">
        <v>239</v>
      </c>
      <c r="C37" s="507">
        <v>0</v>
      </c>
      <c r="D37" s="522"/>
      <c r="E37" s="507"/>
      <c r="F37" s="523"/>
      <c r="G37" s="524"/>
      <c r="H37" s="546"/>
    </row>
    <row r="38" spans="1:9" ht="15.75" customHeight="1" x14ac:dyDescent="0.2">
      <c r="A38" s="2011"/>
      <c r="B38" s="517" t="s">
        <v>230</v>
      </c>
      <c r="C38" s="518"/>
      <c r="D38" s="195"/>
      <c r="E38" s="192"/>
      <c r="F38" s="194"/>
      <c r="G38" s="519"/>
      <c r="H38" s="520"/>
    </row>
    <row r="39" spans="1:9" ht="31.5" x14ac:dyDescent="0.2">
      <c r="A39" s="2011"/>
      <c r="B39" s="507" t="s">
        <v>242</v>
      </c>
      <c r="C39" s="521">
        <v>0</v>
      </c>
      <c r="D39" s="522">
        <f>C40+C41*C39</f>
        <v>0</v>
      </c>
      <c r="E39" s="507" t="s">
        <v>249</v>
      </c>
      <c r="F39" s="523">
        <v>0.8</v>
      </c>
      <c r="G39" s="524" t="str">
        <f>CONCATENATE("",D39,,"*",F39,"*",F40)</f>
        <v>0*0,8*0,2</v>
      </c>
      <c r="H39" s="525">
        <f>IF((ROUND(D39*F40*F39,2))&gt;6200,ROUND(D39*F39*F40,2),6200)*0</f>
        <v>0</v>
      </c>
    </row>
    <row r="40" spans="1:9" ht="31.5" x14ac:dyDescent="0.2">
      <c r="A40" s="2011"/>
      <c r="B40" s="507" t="s">
        <v>250</v>
      </c>
      <c r="C40" s="505">
        <v>0</v>
      </c>
      <c r="D40" s="522"/>
      <c r="E40" s="465" t="s">
        <v>251</v>
      </c>
      <c r="F40" s="523">
        <v>0.2</v>
      </c>
      <c r="G40" s="553"/>
      <c r="H40" s="527"/>
    </row>
    <row r="41" spans="1:9" ht="16.5" thickBot="1" x14ac:dyDescent="0.25">
      <c r="A41" s="2011"/>
      <c r="B41" s="545" t="s">
        <v>239</v>
      </c>
      <c r="C41" s="507">
        <v>0</v>
      </c>
      <c r="D41" s="522"/>
      <c r="E41" s="507"/>
      <c r="F41" s="523"/>
      <c r="G41" s="524"/>
      <c r="H41" s="554"/>
    </row>
    <row r="42" spans="1:9" ht="16.5" thickBot="1" x14ac:dyDescent="0.25">
      <c r="A42" s="563"/>
      <c r="B42" s="1988" t="s">
        <v>252</v>
      </c>
      <c r="C42" s="1989"/>
      <c r="D42" s="1989"/>
      <c r="E42" s="1989"/>
      <c r="F42" s="1989"/>
      <c r="G42" s="1990"/>
      <c r="H42" s="564">
        <f>SUM(H34:H40)</f>
        <v>0</v>
      </c>
      <c r="I42" s="565"/>
    </row>
    <row r="43" spans="1:9" s="69" customFormat="1" ht="16.5" thickBot="1" x14ac:dyDescent="0.25">
      <c r="A43" s="2012" t="s">
        <v>253</v>
      </c>
      <c r="B43" s="1894"/>
      <c r="C43" s="1894"/>
      <c r="D43" s="1894"/>
      <c r="E43" s="1894"/>
      <c r="F43" s="1894"/>
      <c r="G43" s="1894"/>
      <c r="H43" s="1895"/>
    </row>
    <row r="44" spans="1:9" s="30" customFormat="1" ht="47.25" x14ac:dyDescent="0.2">
      <c r="A44" s="1997">
        <v>3</v>
      </c>
      <c r="B44" s="566" t="s">
        <v>254</v>
      </c>
      <c r="C44" s="567">
        <v>0</v>
      </c>
      <c r="D44" s="500">
        <f>C45+C44*C46</f>
        <v>0</v>
      </c>
      <c r="E44" s="568" t="s">
        <v>255</v>
      </c>
      <c r="F44" s="569">
        <v>1.2</v>
      </c>
      <c r="G44" s="570" t="str">
        <f>CONCATENATE(D44,"*",F44)</f>
        <v>0*1,2</v>
      </c>
      <c r="H44" s="504">
        <f>ROUND((D44*F44),2)</f>
        <v>0</v>
      </c>
    </row>
    <row r="45" spans="1:9" s="30" customFormat="1" x14ac:dyDescent="0.2">
      <c r="A45" s="1998"/>
      <c r="B45" s="477" t="s">
        <v>228</v>
      </c>
      <c r="C45" s="505">
        <v>0</v>
      </c>
      <c r="D45" s="506"/>
      <c r="E45" s="571"/>
      <c r="F45" s="572"/>
      <c r="G45" s="508"/>
      <c r="H45" s="573"/>
    </row>
    <row r="46" spans="1:9" s="30" customFormat="1" x14ac:dyDescent="0.2">
      <c r="A46" s="1998"/>
      <c r="B46" s="510" t="s">
        <v>12</v>
      </c>
      <c r="C46" s="511">
        <v>0</v>
      </c>
      <c r="D46" s="512"/>
      <c r="E46" s="574"/>
      <c r="F46" s="575"/>
      <c r="G46" s="515"/>
      <c r="H46" s="576"/>
    </row>
    <row r="47" spans="1:9" s="580" customFormat="1" ht="31.5" x14ac:dyDescent="0.2">
      <c r="A47" s="1998"/>
      <c r="B47" s="577" t="s">
        <v>256</v>
      </c>
      <c r="C47" s="348">
        <v>0</v>
      </c>
      <c r="D47" s="198">
        <f>C48+C47*C49</f>
        <v>0</v>
      </c>
      <c r="E47" s="191" t="s">
        <v>257</v>
      </c>
      <c r="F47" s="578">
        <v>0.05</v>
      </c>
      <c r="G47" s="579" t="str">
        <f>CONCATENATE("",D47,,"*",F47,)</f>
        <v>0*0,05</v>
      </c>
      <c r="H47" s="525">
        <f>IF((ROUND((D47)*F47,2))&gt;6200,ROUND((D47)*F47,2),6200)*0</f>
        <v>0</v>
      </c>
    </row>
    <row r="48" spans="1:9" s="580" customFormat="1" ht="25.5" customHeight="1" x14ac:dyDescent="0.2">
      <c r="A48" s="1998"/>
      <c r="B48" s="581" t="s">
        <v>258</v>
      </c>
      <c r="C48" s="467">
        <v>0</v>
      </c>
      <c r="D48" s="582"/>
      <c r="E48" s="2000" t="s">
        <v>259</v>
      </c>
      <c r="F48" s="583"/>
      <c r="G48" s="584"/>
      <c r="H48" s="585"/>
    </row>
    <row r="49" spans="1:12" s="580" customFormat="1" ht="25.5" customHeight="1" thickBot="1" x14ac:dyDescent="0.25">
      <c r="A49" s="1999"/>
      <c r="B49" s="586" t="s">
        <v>12</v>
      </c>
      <c r="C49" s="587">
        <v>0</v>
      </c>
      <c r="D49" s="588"/>
      <c r="E49" s="2001"/>
      <c r="F49" s="589"/>
      <c r="G49" s="530"/>
      <c r="H49" s="590"/>
    </row>
    <row r="50" spans="1:12" s="30" customFormat="1" ht="16.5" thickBot="1" x14ac:dyDescent="0.25">
      <c r="A50" s="532"/>
      <c r="B50" s="112" t="s">
        <v>260</v>
      </c>
      <c r="C50" s="591"/>
      <c r="D50" s="592"/>
      <c r="E50" s="591"/>
      <c r="F50" s="591"/>
      <c r="G50" s="593"/>
      <c r="H50" s="343">
        <f>SUM(H44:H49)</f>
        <v>0</v>
      </c>
      <c r="I50" s="31"/>
    </row>
    <row r="51" spans="1:12" s="54" customFormat="1" ht="16.5" thickBot="1" x14ac:dyDescent="0.25">
      <c r="A51" s="2002" t="s">
        <v>261</v>
      </c>
      <c r="B51" s="2003"/>
      <c r="C51" s="2003"/>
      <c r="D51" s="2003"/>
      <c r="E51" s="2003"/>
      <c r="F51" s="2003"/>
      <c r="G51" s="2003"/>
      <c r="H51" s="2004"/>
    </row>
    <row r="52" spans="1:12" s="54" customFormat="1" ht="47.25" x14ac:dyDescent="0.2">
      <c r="A52" s="2005">
        <v>4</v>
      </c>
      <c r="B52" s="594" t="s">
        <v>262</v>
      </c>
      <c r="C52" s="595">
        <v>0</v>
      </c>
      <c r="D52" s="596">
        <f>ROUND((C53+C54*C52),2)</f>
        <v>0</v>
      </c>
      <c r="E52" s="501" t="s">
        <v>263</v>
      </c>
      <c r="F52" s="502">
        <v>1.4</v>
      </c>
      <c r="G52" s="597" t="str">
        <f>CONCATENATE(D52,"*",F52,)</f>
        <v>0*1,4</v>
      </c>
      <c r="H52" s="598">
        <f>ROUND(D52*F52,2)</f>
        <v>0</v>
      </c>
    </row>
    <row r="53" spans="1:12" s="54" customFormat="1" x14ac:dyDescent="0.2">
      <c r="A53" s="2006"/>
      <c r="B53" s="599" t="s">
        <v>264</v>
      </c>
      <c r="C53" s="600">
        <v>0</v>
      </c>
      <c r="D53" s="601"/>
      <c r="E53" s="602"/>
      <c r="F53" s="603"/>
      <c r="G53" s="604"/>
      <c r="H53" s="525"/>
    </row>
    <row r="54" spans="1:12" s="54" customFormat="1" x14ac:dyDescent="0.2">
      <c r="A54" s="2006"/>
      <c r="B54" s="605" t="s">
        <v>8</v>
      </c>
      <c r="C54" s="606">
        <v>0</v>
      </c>
      <c r="D54" s="607"/>
      <c r="E54" s="608"/>
      <c r="F54" s="609"/>
      <c r="G54" s="610"/>
      <c r="H54" s="611"/>
    </row>
    <row r="55" spans="1:12" s="54" customFormat="1" ht="78.75" x14ac:dyDescent="0.2">
      <c r="A55" s="2006"/>
      <c r="B55" s="612" t="s">
        <v>265</v>
      </c>
      <c r="C55" s="613"/>
      <c r="D55" s="614">
        <f>ROUND((C56+C57*C55),2)</f>
        <v>0</v>
      </c>
      <c r="E55" s="615" t="s">
        <v>266</v>
      </c>
      <c r="F55" s="616">
        <v>1</v>
      </c>
      <c r="G55" s="617" t="str">
        <f>CONCATENATE(D55,"*",F56,"*",F55)</f>
        <v>0*2*1</v>
      </c>
      <c r="H55" s="618">
        <f>ROUND(D55*F56*F55,2)</f>
        <v>0</v>
      </c>
      <c r="I55" s="619"/>
      <c r="J55" s="619"/>
      <c r="K55" s="619"/>
      <c r="L55" s="619"/>
    </row>
    <row r="56" spans="1:12" s="54" customFormat="1" x14ac:dyDescent="0.2">
      <c r="A56" s="2006"/>
      <c r="B56" s="581" t="s">
        <v>258</v>
      </c>
      <c r="C56" s="600">
        <v>0</v>
      </c>
      <c r="D56" s="601"/>
      <c r="E56" s="620" t="s">
        <v>267</v>
      </c>
      <c r="F56" s="621">
        <v>2</v>
      </c>
      <c r="G56" s="604"/>
      <c r="H56" s="525"/>
    </row>
    <row r="57" spans="1:12" s="54" customFormat="1" x14ac:dyDescent="0.2">
      <c r="A57" s="2006"/>
      <c r="B57" s="605" t="s">
        <v>8</v>
      </c>
      <c r="C57" s="606">
        <v>0</v>
      </c>
      <c r="D57" s="607"/>
      <c r="E57" s="608"/>
      <c r="F57" s="609"/>
      <c r="G57" s="610"/>
      <c r="H57" s="611"/>
    </row>
    <row r="58" spans="1:12" s="69" customFormat="1" x14ac:dyDescent="0.2">
      <c r="A58" s="2006"/>
      <c r="B58" s="517" t="s">
        <v>268</v>
      </c>
      <c r="C58" s="518"/>
      <c r="D58" s="195"/>
      <c r="E58" s="192"/>
      <c r="F58" s="194"/>
      <c r="G58" s="519"/>
      <c r="H58" s="520"/>
      <c r="I58" s="71"/>
    </row>
    <row r="59" spans="1:12" s="69" customFormat="1" ht="31.5" x14ac:dyDescent="0.2">
      <c r="A59" s="2006"/>
      <c r="B59" s="477" t="s">
        <v>269</v>
      </c>
      <c r="C59" s="622">
        <v>0</v>
      </c>
      <c r="D59" s="623">
        <f>C60+C59*C61</f>
        <v>0</v>
      </c>
      <c r="E59" s="476" t="s">
        <v>270</v>
      </c>
      <c r="F59" s="91">
        <v>0.6</v>
      </c>
      <c r="G59" s="624" t="str">
        <f>CONCATENATE(D59,"*",F59,)</f>
        <v>0*0,6</v>
      </c>
      <c r="H59" s="625">
        <f>ROUND(D59*F59,2)</f>
        <v>0</v>
      </c>
      <c r="I59" s="626"/>
    </row>
    <row r="60" spans="1:12" s="69" customFormat="1" x14ac:dyDescent="0.2">
      <c r="A60" s="2006"/>
      <c r="B60" s="581" t="s">
        <v>258</v>
      </c>
      <c r="C60" s="198">
        <v>0</v>
      </c>
      <c r="D60" s="627"/>
      <c r="E60" s="476"/>
      <c r="F60" s="628"/>
      <c r="G60" s="629"/>
      <c r="H60" s="573"/>
      <c r="I60" s="71"/>
    </row>
    <row r="61" spans="1:12" s="69" customFormat="1" x14ac:dyDescent="0.2">
      <c r="A61" s="2006"/>
      <c r="B61" s="630" t="s">
        <v>8</v>
      </c>
      <c r="C61" s="631">
        <v>0</v>
      </c>
      <c r="D61" s="631"/>
      <c r="E61" s="632"/>
      <c r="F61" s="633"/>
      <c r="G61" s="634"/>
      <c r="H61" s="576"/>
      <c r="I61" s="71"/>
    </row>
    <row r="62" spans="1:12" s="36" customFormat="1" ht="78.75" x14ac:dyDescent="0.2">
      <c r="A62" s="635"/>
      <c r="B62" s="636" t="s">
        <v>271</v>
      </c>
      <c r="C62" s="637">
        <v>0</v>
      </c>
      <c r="D62" s="601">
        <f>ROUND((C63+C64*C62),2)</f>
        <v>0</v>
      </c>
      <c r="E62" s="191" t="s">
        <v>257</v>
      </c>
      <c r="F62" s="578">
        <v>0.05</v>
      </c>
      <c r="G62" s="579" t="str">
        <f>CONCATENATE("",D62,,"*",F62,)</f>
        <v>0*0,05</v>
      </c>
      <c r="H62" s="525">
        <f>IF((ROUND((D62)*F62,2))&gt;6200,ROUND((D62)*F62,2),6200)*0</f>
        <v>0</v>
      </c>
    </row>
    <row r="63" spans="1:12" s="36" customFormat="1" ht="47.25" x14ac:dyDescent="0.2">
      <c r="A63" s="635"/>
      <c r="B63" s="599" t="s">
        <v>264</v>
      </c>
      <c r="C63" s="600">
        <v>0</v>
      </c>
      <c r="D63" s="601"/>
      <c r="E63" s="638" t="s">
        <v>259</v>
      </c>
      <c r="F63" s="583"/>
      <c r="G63" s="584"/>
      <c r="H63" s="585"/>
    </row>
    <row r="64" spans="1:12" s="36" customFormat="1" ht="16.5" thickBot="1" x14ac:dyDescent="0.25">
      <c r="A64" s="639"/>
      <c r="B64" s="605" t="s">
        <v>8</v>
      </c>
      <c r="C64" s="606">
        <v>0</v>
      </c>
      <c r="D64" s="607"/>
      <c r="E64" s="608"/>
      <c r="F64" s="609"/>
      <c r="G64" s="610"/>
      <c r="H64" s="640"/>
    </row>
    <row r="65" spans="1:9" s="36" customFormat="1" ht="16.5" thickBot="1" x14ac:dyDescent="0.25">
      <c r="A65" s="641"/>
      <c r="B65" s="642" t="s">
        <v>272</v>
      </c>
      <c r="C65" s="643"/>
      <c r="D65" s="644"/>
      <c r="E65" s="643"/>
      <c r="F65" s="643"/>
      <c r="G65" s="645"/>
      <c r="H65" s="646">
        <f>SUM(H52:H64)</f>
        <v>0</v>
      </c>
      <c r="I65" s="647">
        <f>H59+H55+H52</f>
        <v>0</v>
      </c>
    </row>
    <row r="66" spans="1:9" x14ac:dyDescent="0.2">
      <c r="A66" s="2007" t="s">
        <v>273</v>
      </c>
      <c r="B66" s="2008"/>
      <c r="C66" s="2008"/>
      <c r="D66" s="2008"/>
      <c r="E66" s="2008"/>
      <c r="F66" s="2008"/>
      <c r="G66" s="2008"/>
      <c r="H66" s="2009"/>
    </row>
    <row r="67" spans="1:9" ht="47.25" x14ac:dyDescent="0.2">
      <c r="A67" s="2010">
        <v>2</v>
      </c>
      <c r="B67" s="533" t="s">
        <v>274</v>
      </c>
      <c r="C67" s="534">
        <v>0</v>
      </c>
      <c r="D67" s="535">
        <f>C68+C69*C67</f>
        <v>0</v>
      </c>
      <c r="E67" s="536" t="s">
        <v>275</v>
      </c>
      <c r="F67" s="537">
        <v>0.9</v>
      </c>
      <c r="G67" s="538" t="str">
        <f>CONCATENATE("",D67,,"*",F67,)</f>
        <v>0*0,9</v>
      </c>
      <c r="H67" s="539">
        <f>ROUND(D67*F67,2)</f>
        <v>0</v>
      </c>
    </row>
    <row r="68" spans="1:9" ht="31.5" x14ac:dyDescent="0.2">
      <c r="A68" s="2011"/>
      <c r="B68" s="507" t="s">
        <v>237</v>
      </c>
      <c r="C68" s="505">
        <v>0</v>
      </c>
      <c r="D68" s="540"/>
      <c r="E68" s="507"/>
      <c r="F68" s="523"/>
      <c r="G68" s="543"/>
      <c r="H68" s="544"/>
    </row>
    <row r="69" spans="1:9" x14ac:dyDescent="0.2">
      <c r="A69" s="2011"/>
      <c r="B69" s="545" t="s">
        <v>239</v>
      </c>
      <c r="C69" s="507">
        <v>0</v>
      </c>
      <c r="D69" s="522"/>
      <c r="E69" s="549"/>
      <c r="F69" s="550"/>
      <c r="G69" s="524"/>
      <c r="H69" s="546"/>
    </row>
    <row r="70" spans="1:9" ht="31.5" x14ac:dyDescent="0.2">
      <c r="A70" s="2011"/>
      <c r="B70" s="533" t="s">
        <v>276</v>
      </c>
      <c r="C70" s="534">
        <v>0</v>
      </c>
      <c r="D70" s="535">
        <f>C71+C72*C70</f>
        <v>0</v>
      </c>
      <c r="E70" s="536" t="s">
        <v>275</v>
      </c>
      <c r="F70" s="537">
        <v>0.9</v>
      </c>
      <c r="G70" s="538" t="str">
        <f>CONCATENATE("(",D70,"+",D70,"*",F72,"*",F71,")                *",F70,)</f>
        <v>(0+0*0,5*1)                *0,9</v>
      </c>
      <c r="H70" s="539">
        <f>ROUND((D70+D70*F72*F71)*F70,2)</f>
        <v>0</v>
      </c>
    </row>
    <row r="71" spans="1:9" x14ac:dyDescent="0.2">
      <c r="A71" s="2011"/>
      <c r="B71" s="507" t="s">
        <v>277</v>
      </c>
      <c r="C71" s="505">
        <v>0</v>
      </c>
      <c r="D71" s="540"/>
      <c r="E71" s="507" t="s">
        <v>240</v>
      </c>
      <c r="F71" s="523">
        <v>1</v>
      </c>
      <c r="G71" s="543"/>
      <c r="H71" s="544"/>
    </row>
    <row r="72" spans="1:9" ht="47.25" x14ac:dyDescent="0.2">
      <c r="A72" s="2011"/>
      <c r="B72" s="545" t="s">
        <v>239</v>
      </c>
      <c r="C72" s="507">
        <v>0</v>
      </c>
      <c r="D72" s="522"/>
      <c r="E72" s="549" t="s">
        <v>278</v>
      </c>
      <c r="F72" s="550">
        <v>0.5</v>
      </c>
      <c r="G72" s="524"/>
      <c r="H72" s="546"/>
    </row>
    <row r="73" spans="1:9" ht="15.75" customHeight="1" x14ac:dyDescent="0.2">
      <c r="A73" s="2011"/>
      <c r="B73" s="475" t="s">
        <v>230</v>
      </c>
      <c r="C73" s="648"/>
      <c r="D73" s="649"/>
      <c r="E73" s="85"/>
      <c r="F73" s="83"/>
      <c r="G73" s="650"/>
      <c r="H73" s="651"/>
    </row>
    <row r="74" spans="1:9" ht="31.5" x14ac:dyDescent="0.2">
      <c r="A74" s="2011"/>
      <c r="B74" s="507" t="s">
        <v>279</v>
      </c>
      <c r="C74" s="521">
        <v>0</v>
      </c>
      <c r="D74" s="522">
        <f>C75+C76*C74</f>
        <v>0</v>
      </c>
      <c r="E74" s="507" t="s">
        <v>275</v>
      </c>
      <c r="F74" s="523">
        <v>0.9</v>
      </c>
      <c r="G74" s="524" t="str">
        <f>CONCATENATE("",D74,,"*",F74,"*",F75)</f>
        <v>0*0,9*0,05</v>
      </c>
      <c r="H74" s="525">
        <f>IF((ROUND(D74*F75*F74,2))&gt;6200,ROUND(D74*F74*F75,2),6200)*0</f>
        <v>0</v>
      </c>
    </row>
    <row r="75" spans="1:9" ht="31.5" x14ac:dyDescent="0.2">
      <c r="A75" s="2011"/>
      <c r="B75" s="507" t="s">
        <v>280</v>
      </c>
      <c r="C75" s="505">
        <v>0</v>
      </c>
      <c r="D75" s="522"/>
      <c r="E75" s="465" t="s">
        <v>251</v>
      </c>
      <c r="F75" s="523">
        <v>0.05</v>
      </c>
      <c r="G75" s="553"/>
      <c r="H75" s="527"/>
    </row>
    <row r="76" spans="1:9" x14ac:dyDescent="0.2">
      <c r="A76" s="2011"/>
      <c r="B76" s="652" t="s">
        <v>239</v>
      </c>
      <c r="C76" s="513">
        <v>0</v>
      </c>
      <c r="D76" s="548"/>
      <c r="E76" s="513"/>
      <c r="F76" s="550"/>
      <c r="G76" s="551"/>
      <c r="H76" s="653"/>
    </row>
    <row r="77" spans="1:9" ht="31.5" x14ac:dyDescent="0.2">
      <c r="A77" s="2011"/>
      <c r="B77" s="465" t="s">
        <v>281</v>
      </c>
      <c r="C77" s="521">
        <v>0</v>
      </c>
      <c r="D77" s="522">
        <f>C78+C79*C77</f>
        <v>0</v>
      </c>
      <c r="E77" s="507" t="s">
        <v>275</v>
      </c>
      <c r="F77" s="523">
        <v>0.9</v>
      </c>
      <c r="G77" s="524" t="str">
        <f>CONCATENATE("(",D77,"+",D77,"*",F79,"*",F78,")                *",F77,"*",F80)</f>
        <v>(0+0*0,5*1)                *0,9*0,05</v>
      </c>
      <c r="H77" s="525">
        <f>IF((ROUND((D77+D77*F78*F79)*F77*F80,2))&gt;6200,ROUND(D77*F77*F78,2),6200)*0</f>
        <v>0</v>
      </c>
    </row>
    <row r="78" spans="1:9" x14ac:dyDescent="0.2">
      <c r="A78" s="2011"/>
      <c r="B78" s="507" t="s">
        <v>277</v>
      </c>
      <c r="C78" s="505">
        <v>0</v>
      </c>
      <c r="D78" s="522"/>
      <c r="E78" s="507" t="s">
        <v>240</v>
      </c>
      <c r="F78" s="523">
        <v>1</v>
      </c>
      <c r="G78" s="543"/>
      <c r="H78" s="544"/>
    </row>
    <row r="79" spans="1:9" ht="47.25" x14ac:dyDescent="0.2">
      <c r="A79" s="2011"/>
      <c r="B79" s="545" t="s">
        <v>239</v>
      </c>
      <c r="C79" s="507">
        <v>0</v>
      </c>
      <c r="D79" s="522"/>
      <c r="E79" s="465" t="s">
        <v>278</v>
      </c>
      <c r="F79" s="523">
        <v>0.5</v>
      </c>
      <c r="G79" s="524"/>
      <c r="H79" s="546"/>
    </row>
    <row r="80" spans="1:9" ht="32.25" thickBot="1" x14ac:dyDescent="0.25">
      <c r="A80" s="555"/>
      <c r="B80" s="556"/>
      <c r="C80" s="557"/>
      <c r="D80" s="558"/>
      <c r="E80" s="559" t="s">
        <v>245</v>
      </c>
      <c r="F80" s="560">
        <v>0.05</v>
      </c>
      <c r="G80" s="561"/>
      <c r="H80" s="562"/>
    </row>
    <row r="81" spans="1:12" ht="16.5" thickBot="1" x14ac:dyDescent="0.25">
      <c r="A81" s="563"/>
      <c r="B81" s="1988" t="s">
        <v>282</v>
      </c>
      <c r="C81" s="1989"/>
      <c r="D81" s="1989"/>
      <c r="E81" s="1989"/>
      <c r="F81" s="1989"/>
      <c r="G81" s="1990"/>
      <c r="H81" s="564">
        <f>SUM(H66:H78)</f>
        <v>0</v>
      </c>
      <c r="I81" s="565"/>
    </row>
    <row r="82" spans="1:12" s="36" customFormat="1" ht="25.5" customHeight="1" thickBot="1" x14ac:dyDescent="0.25">
      <c r="A82" s="641"/>
      <c r="B82" s="642" t="s">
        <v>283</v>
      </c>
      <c r="C82" s="643"/>
      <c r="D82" s="644"/>
      <c r="E82" s="643"/>
      <c r="F82" s="643"/>
      <c r="G82" s="645"/>
      <c r="H82" s="646">
        <f>H65+H50+H33+H22+H42+H81</f>
        <v>0</v>
      </c>
      <c r="I82" s="647"/>
    </row>
    <row r="83" spans="1:12" s="54" customFormat="1" ht="21" customHeight="1" thickBot="1" x14ac:dyDescent="0.25">
      <c r="A83" s="654"/>
      <c r="B83" s="1991" t="s">
        <v>284</v>
      </c>
      <c r="C83" s="1992"/>
      <c r="D83" s="1992"/>
      <c r="E83" s="1992"/>
      <c r="F83" s="1992"/>
      <c r="G83" s="1992"/>
      <c r="H83" s="1993"/>
    </row>
    <row r="84" spans="1:12" s="54" customFormat="1" ht="22.5" customHeight="1" thickBot="1" x14ac:dyDescent="0.25">
      <c r="A84" s="655"/>
      <c r="B84" s="656" t="s">
        <v>285</v>
      </c>
      <c r="C84" s="657"/>
      <c r="D84" s="657"/>
      <c r="E84" s="657"/>
      <c r="F84" s="657"/>
      <c r="G84" s="658"/>
      <c r="H84" s="659">
        <f>H82-H19-H29-H39-H47-H62-H74-H77</f>
        <v>0</v>
      </c>
      <c r="I84" s="660"/>
    </row>
    <row r="85" spans="1:12" s="54" customFormat="1" ht="33" customHeight="1" thickBot="1" x14ac:dyDescent="0.25">
      <c r="A85" s="655"/>
      <c r="B85" s="1994" t="s">
        <v>286</v>
      </c>
      <c r="C85" s="1995"/>
      <c r="D85" s="1996"/>
      <c r="E85" s="661" t="s">
        <v>287</v>
      </c>
      <c r="F85" s="662">
        <v>0.02</v>
      </c>
      <c r="G85" s="663" t="str">
        <f>CONCATENATE(H84,"*",F85)</f>
        <v>0*0,02</v>
      </c>
      <c r="H85" s="664">
        <f>ROUND(H84*F85,2)</f>
        <v>0</v>
      </c>
      <c r="I85" s="665"/>
    </row>
    <row r="86" spans="1:12" s="54" customFormat="1" ht="32.25" customHeight="1" thickBot="1" x14ac:dyDescent="0.25">
      <c r="A86" s="666"/>
      <c r="B86" s="667" t="s">
        <v>288</v>
      </c>
      <c r="C86" s="657"/>
      <c r="D86" s="668"/>
      <c r="E86" s="657"/>
      <c r="F86" s="669"/>
      <c r="G86" s="670"/>
      <c r="H86" s="664">
        <f>H85+H82</f>
        <v>0</v>
      </c>
      <c r="I86" s="671"/>
      <c r="J86" s="330"/>
      <c r="K86" s="330"/>
      <c r="L86" s="665"/>
    </row>
  </sheetData>
  <mergeCells count="27">
    <mergeCell ref="A6:H6"/>
    <mergeCell ref="A7:H7"/>
    <mergeCell ref="A10:H10"/>
    <mergeCell ref="A11:H11"/>
    <mergeCell ref="A8:H8"/>
    <mergeCell ref="A9:H9"/>
    <mergeCell ref="A43:H43"/>
    <mergeCell ref="A12:H12"/>
    <mergeCell ref="B13:C13"/>
    <mergeCell ref="A14:H14"/>
    <mergeCell ref="A15:A21"/>
    <mergeCell ref="B22:G22"/>
    <mergeCell ref="A23:H23"/>
    <mergeCell ref="A24:A31"/>
    <mergeCell ref="B33:G33"/>
    <mergeCell ref="A34:H34"/>
    <mergeCell ref="A35:A41"/>
    <mergeCell ref="B42:G42"/>
    <mergeCell ref="B81:G81"/>
    <mergeCell ref="B83:H83"/>
    <mergeCell ref="B85:D85"/>
    <mergeCell ref="A44:A49"/>
    <mergeCell ref="E48:E49"/>
    <mergeCell ref="A51:H51"/>
    <mergeCell ref="A52:A61"/>
    <mergeCell ref="A66:H66"/>
    <mergeCell ref="A67:A7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tToHeight="21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192"/>
  <sheetViews>
    <sheetView view="pageBreakPreview" topLeftCell="A63" zoomScale="110" zoomScaleNormal="100" zoomScaleSheetLayoutView="110" workbookViewId="0">
      <selection activeCell="D190" sqref="D190"/>
    </sheetView>
  </sheetViews>
  <sheetFormatPr defaultRowHeight="15.75" x14ac:dyDescent="0.25"/>
  <cols>
    <col min="1" max="1" width="4.140625" style="706" customWidth="1"/>
    <col min="2" max="2" width="22.28515625" style="706" customWidth="1"/>
    <col min="3" max="3" width="14.42578125" style="707" customWidth="1"/>
    <col min="4" max="4" width="23.5703125" style="706" customWidth="1"/>
    <col min="5" max="5" width="31.85546875" style="945" customWidth="1"/>
    <col min="6" max="6" width="14.7109375" style="706" customWidth="1"/>
    <col min="7" max="7" width="14.28515625" style="946" customWidth="1"/>
    <col min="8" max="8" width="15.85546875" style="709" customWidth="1"/>
    <col min="9" max="9" width="10.42578125" style="709" customWidth="1"/>
    <col min="10" max="10" width="11.7109375" style="709" customWidth="1"/>
    <col min="11" max="11" width="10.42578125" style="709" customWidth="1"/>
    <col min="12" max="12" width="42.5703125" style="709" customWidth="1"/>
    <col min="13" max="13" width="16.42578125" style="709" customWidth="1"/>
    <col min="14" max="14" width="12.7109375" style="709" customWidth="1"/>
    <col min="15" max="15" width="30.85546875" style="709" customWidth="1"/>
    <col min="16" max="16" width="18.85546875" style="709" customWidth="1"/>
    <col min="17" max="18" width="9.140625" style="709"/>
    <col min="19" max="256" width="9.140625" style="706"/>
    <col min="257" max="257" width="4.140625" style="706" customWidth="1"/>
    <col min="258" max="258" width="22.28515625" style="706" customWidth="1"/>
    <col min="259" max="259" width="14.42578125" style="706" customWidth="1"/>
    <col min="260" max="260" width="23.5703125" style="706" customWidth="1"/>
    <col min="261" max="261" width="31.85546875" style="706" customWidth="1"/>
    <col min="262" max="262" width="14.7109375" style="706" customWidth="1"/>
    <col min="263" max="263" width="14.28515625" style="706" customWidth="1"/>
    <col min="264" max="264" width="24.7109375" style="706" customWidth="1"/>
    <col min="265" max="265" width="10.42578125" style="706" customWidth="1"/>
    <col min="266" max="266" width="11.7109375" style="706" customWidth="1"/>
    <col min="267" max="267" width="10.42578125" style="706" customWidth="1"/>
    <col min="268" max="268" width="42.5703125" style="706" customWidth="1"/>
    <col min="269" max="269" width="16.42578125" style="706" customWidth="1"/>
    <col min="270" max="270" width="12.7109375" style="706" customWidth="1"/>
    <col min="271" max="271" width="30.85546875" style="706" customWidth="1"/>
    <col min="272" max="272" width="18.85546875" style="706" customWidth="1"/>
    <col min="273" max="512" width="9.140625" style="706"/>
    <col min="513" max="513" width="4.140625" style="706" customWidth="1"/>
    <col min="514" max="514" width="22.28515625" style="706" customWidth="1"/>
    <col min="515" max="515" width="14.42578125" style="706" customWidth="1"/>
    <col min="516" max="516" width="23.5703125" style="706" customWidth="1"/>
    <col min="517" max="517" width="31.85546875" style="706" customWidth="1"/>
    <col min="518" max="518" width="14.7109375" style="706" customWidth="1"/>
    <col min="519" max="519" width="14.28515625" style="706" customWidth="1"/>
    <col min="520" max="520" width="24.7109375" style="706" customWidth="1"/>
    <col min="521" max="521" width="10.42578125" style="706" customWidth="1"/>
    <col min="522" max="522" width="11.7109375" style="706" customWidth="1"/>
    <col min="523" max="523" width="10.42578125" style="706" customWidth="1"/>
    <col min="524" max="524" width="42.5703125" style="706" customWidth="1"/>
    <col min="525" max="525" width="16.42578125" style="706" customWidth="1"/>
    <col min="526" max="526" width="12.7109375" style="706" customWidth="1"/>
    <col min="527" max="527" width="30.85546875" style="706" customWidth="1"/>
    <col min="528" max="528" width="18.85546875" style="706" customWidth="1"/>
    <col min="529" max="768" width="9.140625" style="706"/>
    <col min="769" max="769" width="4.140625" style="706" customWidth="1"/>
    <col min="770" max="770" width="22.28515625" style="706" customWidth="1"/>
    <col min="771" max="771" width="14.42578125" style="706" customWidth="1"/>
    <col min="772" max="772" width="23.5703125" style="706" customWidth="1"/>
    <col min="773" max="773" width="31.85546875" style="706" customWidth="1"/>
    <col min="774" max="774" width="14.7109375" style="706" customWidth="1"/>
    <col min="775" max="775" width="14.28515625" style="706" customWidth="1"/>
    <col min="776" max="776" width="24.7109375" style="706" customWidth="1"/>
    <col min="777" max="777" width="10.42578125" style="706" customWidth="1"/>
    <col min="778" max="778" width="11.7109375" style="706" customWidth="1"/>
    <col min="779" max="779" width="10.42578125" style="706" customWidth="1"/>
    <col min="780" max="780" width="42.5703125" style="706" customWidth="1"/>
    <col min="781" max="781" width="16.42578125" style="706" customWidth="1"/>
    <col min="782" max="782" width="12.7109375" style="706" customWidth="1"/>
    <col min="783" max="783" width="30.85546875" style="706" customWidth="1"/>
    <col min="784" max="784" width="18.85546875" style="706" customWidth="1"/>
    <col min="785" max="1024" width="9.140625" style="706"/>
    <col min="1025" max="1025" width="4.140625" style="706" customWidth="1"/>
    <col min="1026" max="1026" width="22.28515625" style="706" customWidth="1"/>
    <col min="1027" max="1027" width="14.42578125" style="706" customWidth="1"/>
    <col min="1028" max="1028" width="23.5703125" style="706" customWidth="1"/>
    <col min="1029" max="1029" width="31.85546875" style="706" customWidth="1"/>
    <col min="1030" max="1030" width="14.7109375" style="706" customWidth="1"/>
    <col min="1031" max="1031" width="14.28515625" style="706" customWidth="1"/>
    <col min="1032" max="1032" width="24.7109375" style="706" customWidth="1"/>
    <col min="1033" max="1033" width="10.42578125" style="706" customWidth="1"/>
    <col min="1034" max="1034" width="11.7109375" style="706" customWidth="1"/>
    <col min="1035" max="1035" width="10.42578125" style="706" customWidth="1"/>
    <col min="1036" max="1036" width="42.5703125" style="706" customWidth="1"/>
    <col min="1037" max="1037" width="16.42578125" style="706" customWidth="1"/>
    <col min="1038" max="1038" width="12.7109375" style="706" customWidth="1"/>
    <col min="1039" max="1039" width="30.85546875" style="706" customWidth="1"/>
    <col min="1040" max="1040" width="18.85546875" style="706" customWidth="1"/>
    <col min="1041" max="1280" width="9.140625" style="706"/>
    <col min="1281" max="1281" width="4.140625" style="706" customWidth="1"/>
    <col min="1282" max="1282" width="22.28515625" style="706" customWidth="1"/>
    <col min="1283" max="1283" width="14.42578125" style="706" customWidth="1"/>
    <col min="1284" max="1284" width="23.5703125" style="706" customWidth="1"/>
    <col min="1285" max="1285" width="31.85546875" style="706" customWidth="1"/>
    <col min="1286" max="1286" width="14.7109375" style="706" customWidth="1"/>
    <col min="1287" max="1287" width="14.28515625" style="706" customWidth="1"/>
    <col min="1288" max="1288" width="24.7109375" style="706" customWidth="1"/>
    <col min="1289" max="1289" width="10.42578125" style="706" customWidth="1"/>
    <col min="1290" max="1290" width="11.7109375" style="706" customWidth="1"/>
    <col min="1291" max="1291" width="10.42578125" style="706" customWidth="1"/>
    <col min="1292" max="1292" width="42.5703125" style="706" customWidth="1"/>
    <col min="1293" max="1293" width="16.42578125" style="706" customWidth="1"/>
    <col min="1294" max="1294" width="12.7109375" style="706" customWidth="1"/>
    <col min="1295" max="1295" width="30.85546875" style="706" customWidth="1"/>
    <col min="1296" max="1296" width="18.85546875" style="706" customWidth="1"/>
    <col min="1297" max="1536" width="9.140625" style="706"/>
    <col min="1537" max="1537" width="4.140625" style="706" customWidth="1"/>
    <col min="1538" max="1538" width="22.28515625" style="706" customWidth="1"/>
    <col min="1539" max="1539" width="14.42578125" style="706" customWidth="1"/>
    <col min="1540" max="1540" width="23.5703125" style="706" customWidth="1"/>
    <col min="1541" max="1541" width="31.85546875" style="706" customWidth="1"/>
    <col min="1542" max="1542" width="14.7109375" style="706" customWidth="1"/>
    <col min="1543" max="1543" width="14.28515625" style="706" customWidth="1"/>
    <col min="1544" max="1544" width="24.7109375" style="706" customWidth="1"/>
    <col min="1545" max="1545" width="10.42578125" style="706" customWidth="1"/>
    <col min="1546" max="1546" width="11.7109375" style="706" customWidth="1"/>
    <col min="1547" max="1547" width="10.42578125" style="706" customWidth="1"/>
    <col min="1548" max="1548" width="42.5703125" style="706" customWidth="1"/>
    <col min="1549" max="1549" width="16.42578125" style="706" customWidth="1"/>
    <col min="1550" max="1550" width="12.7109375" style="706" customWidth="1"/>
    <col min="1551" max="1551" width="30.85546875" style="706" customWidth="1"/>
    <col min="1552" max="1552" width="18.85546875" style="706" customWidth="1"/>
    <col min="1553" max="1792" width="9.140625" style="706"/>
    <col min="1793" max="1793" width="4.140625" style="706" customWidth="1"/>
    <col min="1794" max="1794" width="22.28515625" style="706" customWidth="1"/>
    <col min="1795" max="1795" width="14.42578125" style="706" customWidth="1"/>
    <col min="1796" max="1796" width="23.5703125" style="706" customWidth="1"/>
    <col min="1797" max="1797" width="31.85546875" style="706" customWidth="1"/>
    <col min="1798" max="1798" width="14.7109375" style="706" customWidth="1"/>
    <col min="1799" max="1799" width="14.28515625" style="706" customWidth="1"/>
    <col min="1800" max="1800" width="24.7109375" style="706" customWidth="1"/>
    <col min="1801" max="1801" width="10.42578125" style="706" customWidth="1"/>
    <col min="1802" max="1802" width="11.7109375" style="706" customWidth="1"/>
    <col min="1803" max="1803" width="10.42578125" style="706" customWidth="1"/>
    <col min="1804" max="1804" width="42.5703125" style="706" customWidth="1"/>
    <col min="1805" max="1805" width="16.42578125" style="706" customWidth="1"/>
    <col min="1806" max="1806" width="12.7109375" style="706" customWidth="1"/>
    <col min="1807" max="1807" width="30.85546875" style="706" customWidth="1"/>
    <col min="1808" max="1808" width="18.85546875" style="706" customWidth="1"/>
    <col min="1809" max="2048" width="9.140625" style="706"/>
    <col min="2049" max="2049" width="4.140625" style="706" customWidth="1"/>
    <col min="2050" max="2050" width="22.28515625" style="706" customWidth="1"/>
    <col min="2051" max="2051" width="14.42578125" style="706" customWidth="1"/>
    <col min="2052" max="2052" width="23.5703125" style="706" customWidth="1"/>
    <col min="2053" max="2053" width="31.85546875" style="706" customWidth="1"/>
    <col min="2054" max="2054" width="14.7109375" style="706" customWidth="1"/>
    <col min="2055" max="2055" width="14.28515625" style="706" customWidth="1"/>
    <col min="2056" max="2056" width="24.7109375" style="706" customWidth="1"/>
    <col min="2057" max="2057" width="10.42578125" style="706" customWidth="1"/>
    <col min="2058" max="2058" width="11.7109375" style="706" customWidth="1"/>
    <col min="2059" max="2059" width="10.42578125" style="706" customWidth="1"/>
    <col min="2060" max="2060" width="42.5703125" style="706" customWidth="1"/>
    <col min="2061" max="2061" width="16.42578125" style="706" customWidth="1"/>
    <col min="2062" max="2062" width="12.7109375" style="706" customWidth="1"/>
    <col min="2063" max="2063" width="30.85546875" style="706" customWidth="1"/>
    <col min="2064" max="2064" width="18.85546875" style="706" customWidth="1"/>
    <col min="2065" max="2304" width="9.140625" style="706"/>
    <col min="2305" max="2305" width="4.140625" style="706" customWidth="1"/>
    <col min="2306" max="2306" width="22.28515625" style="706" customWidth="1"/>
    <col min="2307" max="2307" width="14.42578125" style="706" customWidth="1"/>
    <col min="2308" max="2308" width="23.5703125" style="706" customWidth="1"/>
    <col min="2309" max="2309" width="31.85546875" style="706" customWidth="1"/>
    <col min="2310" max="2310" width="14.7109375" style="706" customWidth="1"/>
    <col min="2311" max="2311" width="14.28515625" style="706" customWidth="1"/>
    <col min="2312" max="2312" width="24.7109375" style="706" customWidth="1"/>
    <col min="2313" max="2313" width="10.42578125" style="706" customWidth="1"/>
    <col min="2314" max="2314" width="11.7109375" style="706" customWidth="1"/>
    <col min="2315" max="2315" width="10.42578125" style="706" customWidth="1"/>
    <col min="2316" max="2316" width="42.5703125" style="706" customWidth="1"/>
    <col min="2317" max="2317" width="16.42578125" style="706" customWidth="1"/>
    <col min="2318" max="2318" width="12.7109375" style="706" customWidth="1"/>
    <col min="2319" max="2319" width="30.85546875" style="706" customWidth="1"/>
    <col min="2320" max="2320" width="18.85546875" style="706" customWidth="1"/>
    <col min="2321" max="2560" width="9.140625" style="706"/>
    <col min="2561" max="2561" width="4.140625" style="706" customWidth="1"/>
    <col min="2562" max="2562" width="22.28515625" style="706" customWidth="1"/>
    <col min="2563" max="2563" width="14.42578125" style="706" customWidth="1"/>
    <col min="2564" max="2564" width="23.5703125" style="706" customWidth="1"/>
    <col min="2565" max="2565" width="31.85546875" style="706" customWidth="1"/>
    <col min="2566" max="2566" width="14.7109375" style="706" customWidth="1"/>
    <col min="2567" max="2567" width="14.28515625" style="706" customWidth="1"/>
    <col min="2568" max="2568" width="24.7109375" style="706" customWidth="1"/>
    <col min="2569" max="2569" width="10.42578125" style="706" customWidth="1"/>
    <col min="2570" max="2570" width="11.7109375" style="706" customWidth="1"/>
    <col min="2571" max="2571" width="10.42578125" style="706" customWidth="1"/>
    <col min="2572" max="2572" width="42.5703125" style="706" customWidth="1"/>
    <col min="2573" max="2573" width="16.42578125" style="706" customWidth="1"/>
    <col min="2574" max="2574" width="12.7109375" style="706" customWidth="1"/>
    <col min="2575" max="2575" width="30.85546875" style="706" customWidth="1"/>
    <col min="2576" max="2576" width="18.85546875" style="706" customWidth="1"/>
    <col min="2577" max="2816" width="9.140625" style="706"/>
    <col min="2817" max="2817" width="4.140625" style="706" customWidth="1"/>
    <col min="2818" max="2818" width="22.28515625" style="706" customWidth="1"/>
    <col min="2819" max="2819" width="14.42578125" style="706" customWidth="1"/>
    <col min="2820" max="2820" width="23.5703125" style="706" customWidth="1"/>
    <col min="2821" max="2821" width="31.85546875" style="706" customWidth="1"/>
    <col min="2822" max="2822" width="14.7109375" style="706" customWidth="1"/>
    <col min="2823" max="2823" width="14.28515625" style="706" customWidth="1"/>
    <col min="2824" max="2824" width="24.7109375" style="706" customWidth="1"/>
    <col min="2825" max="2825" width="10.42578125" style="706" customWidth="1"/>
    <col min="2826" max="2826" width="11.7109375" style="706" customWidth="1"/>
    <col min="2827" max="2827" width="10.42578125" style="706" customWidth="1"/>
    <col min="2828" max="2828" width="42.5703125" style="706" customWidth="1"/>
    <col min="2829" max="2829" width="16.42578125" style="706" customWidth="1"/>
    <col min="2830" max="2830" width="12.7109375" style="706" customWidth="1"/>
    <col min="2831" max="2831" width="30.85546875" style="706" customWidth="1"/>
    <col min="2832" max="2832" width="18.85546875" style="706" customWidth="1"/>
    <col min="2833" max="3072" width="9.140625" style="706"/>
    <col min="3073" max="3073" width="4.140625" style="706" customWidth="1"/>
    <col min="3074" max="3074" width="22.28515625" style="706" customWidth="1"/>
    <col min="3075" max="3075" width="14.42578125" style="706" customWidth="1"/>
    <col min="3076" max="3076" width="23.5703125" style="706" customWidth="1"/>
    <col min="3077" max="3077" width="31.85546875" style="706" customWidth="1"/>
    <col min="3078" max="3078" width="14.7109375" style="706" customWidth="1"/>
    <col min="3079" max="3079" width="14.28515625" style="706" customWidth="1"/>
    <col min="3080" max="3080" width="24.7109375" style="706" customWidth="1"/>
    <col min="3081" max="3081" width="10.42578125" style="706" customWidth="1"/>
    <col min="3082" max="3082" width="11.7109375" style="706" customWidth="1"/>
    <col min="3083" max="3083" width="10.42578125" style="706" customWidth="1"/>
    <col min="3084" max="3084" width="42.5703125" style="706" customWidth="1"/>
    <col min="3085" max="3085" width="16.42578125" style="706" customWidth="1"/>
    <col min="3086" max="3086" width="12.7109375" style="706" customWidth="1"/>
    <col min="3087" max="3087" width="30.85546875" style="706" customWidth="1"/>
    <col min="3088" max="3088" width="18.85546875" style="706" customWidth="1"/>
    <col min="3089" max="3328" width="9.140625" style="706"/>
    <col min="3329" max="3329" width="4.140625" style="706" customWidth="1"/>
    <col min="3330" max="3330" width="22.28515625" style="706" customWidth="1"/>
    <col min="3331" max="3331" width="14.42578125" style="706" customWidth="1"/>
    <col min="3332" max="3332" width="23.5703125" style="706" customWidth="1"/>
    <col min="3333" max="3333" width="31.85546875" style="706" customWidth="1"/>
    <col min="3334" max="3334" width="14.7109375" style="706" customWidth="1"/>
    <col min="3335" max="3335" width="14.28515625" style="706" customWidth="1"/>
    <col min="3336" max="3336" width="24.7109375" style="706" customWidth="1"/>
    <col min="3337" max="3337" width="10.42578125" style="706" customWidth="1"/>
    <col min="3338" max="3338" width="11.7109375" style="706" customWidth="1"/>
    <col min="3339" max="3339" width="10.42578125" style="706" customWidth="1"/>
    <col min="3340" max="3340" width="42.5703125" style="706" customWidth="1"/>
    <col min="3341" max="3341" width="16.42578125" style="706" customWidth="1"/>
    <col min="3342" max="3342" width="12.7109375" style="706" customWidth="1"/>
    <col min="3343" max="3343" width="30.85546875" style="706" customWidth="1"/>
    <col min="3344" max="3344" width="18.85546875" style="706" customWidth="1"/>
    <col min="3345" max="3584" width="9.140625" style="706"/>
    <col min="3585" max="3585" width="4.140625" style="706" customWidth="1"/>
    <col min="3586" max="3586" width="22.28515625" style="706" customWidth="1"/>
    <col min="3587" max="3587" width="14.42578125" style="706" customWidth="1"/>
    <col min="3588" max="3588" width="23.5703125" style="706" customWidth="1"/>
    <col min="3589" max="3589" width="31.85546875" style="706" customWidth="1"/>
    <col min="3590" max="3590" width="14.7109375" style="706" customWidth="1"/>
    <col min="3591" max="3591" width="14.28515625" style="706" customWidth="1"/>
    <col min="3592" max="3592" width="24.7109375" style="706" customWidth="1"/>
    <col min="3593" max="3593" width="10.42578125" style="706" customWidth="1"/>
    <col min="3594" max="3594" width="11.7109375" style="706" customWidth="1"/>
    <col min="3595" max="3595" width="10.42578125" style="706" customWidth="1"/>
    <col min="3596" max="3596" width="42.5703125" style="706" customWidth="1"/>
    <col min="3597" max="3597" width="16.42578125" style="706" customWidth="1"/>
    <col min="3598" max="3598" width="12.7109375" style="706" customWidth="1"/>
    <col min="3599" max="3599" width="30.85546875" style="706" customWidth="1"/>
    <col min="3600" max="3600" width="18.85546875" style="706" customWidth="1"/>
    <col min="3601" max="3840" width="9.140625" style="706"/>
    <col min="3841" max="3841" width="4.140625" style="706" customWidth="1"/>
    <col min="3842" max="3842" width="22.28515625" style="706" customWidth="1"/>
    <col min="3843" max="3843" width="14.42578125" style="706" customWidth="1"/>
    <col min="3844" max="3844" width="23.5703125" style="706" customWidth="1"/>
    <col min="3845" max="3845" width="31.85546875" style="706" customWidth="1"/>
    <col min="3846" max="3846" width="14.7109375" style="706" customWidth="1"/>
    <col min="3847" max="3847" width="14.28515625" style="706" customWidth="1"/>
    <col min="3848" max="3848" width="24.7109375" style="706" customWidth="1"/>
    <col min="3849" max="3849" width="10.42578125" style="706" customWidth="1"/>
    <col min="3850" max="3850" width="11.7109375" style="706" customWidth="1"/>
    <col min="3851" max="3851" width="10.42578125" style="706" customWidth="1"/>
    <col min="3852" max="3852" width="42.5703125" style="706" customWidth="1"/>
    <col min="3853" max="3853" width="16.42578125" style="706" customWidth="1"/>
    <col min="3854" max="3854" width="12.7109375" style="706" customWidth="1"/>
    <col min="3855" max="3855" width="30.85546875" style="706" customWidth="1"/>
    <col min="3856" max="3856" width="18.85546875" style="706" customWidth="1"/>
    <col min="3857" max="4096" width="9.140625" style="706"/>
    <col min="4097" max="4097" width="4.140625" style="706" customWidth="1"/>
    <col min="4098" max="4098" width="22.28515625" style="706" customWidth="1"/>
    <col min="4099" max="4099" width="14.42578125" style="706" customWidth="1"/>
    <col min="4100" max="4100" width="23.5703125" style="706" customWidth="1"/>
    <col min="4101" max="4101" width="31.85546875" style="706" customWidth="1"/>
    <col min="4102" max="4102" width="14.7109375" style="706" customWidth="1"/>
    <col min="4103" max="4103" width="14.28515625" style="706" customWidth="1"/>
    <col min="4104" max="4104" width="24.7109375" style="706" customWidth="1"/>
    <col min="4105" max="4105" width="10.42578125" style="706" customWidth="1"/>
    <col min="4106" max="4106" width="11.7109375" style="706" customWidth="1"/>
    <col min="4107" max="4107" width="10.42578125" style="706" customWidth="1"/>
    <col min="4108" max="4108" width="42.5703125" style="706" customWidth="1"/>
    <col min="4109" max="4109" width="16.42578125" style="706" customWidth="1"/>
    <col min="4110" max="4110" width="12.7109375" style="706" customWidth="1"/>
    <col min="4111" max="4111" width="30.85546875" style="706" customWidth="1"/>
    <col min="4112" max="4112" width="18.85546875" style="706" customWidth="1"/>
    <col min="4113" max="4352" width="9.140625" style="706"/>
    <col min="4353" max="4353" width="4.140625" style="706" customWidth="1"/>
    <col min="4354" max="4354" width="22.28515625" style="706" customWidth="1"/>
    <col min="4355" max="4355" width="14.42578125" style="706" customWidth="1"/>
    <col min="4356" max="4356" width="23.5703125" style="706" customWidth="1"/>
    <col min="4357" max="4357" width="31.85546875" style="706" customWidth="1"/>
    <col min="4358" max="4358" width="14.7109375" style="706" customWidth="1"/>
    <col min="4359" max="4359" width="14.28515625" style="706" customWidth="1"/>
    <col min="4360" max="4360" width="24.7109375" style="706" customWidth="1"/>
    <col min="4361" max="4361" width="10.42578125" style="706" customWidth="1"/>
    <col min="4362" max="4362" width="11.7109375" style="706" customWidth="1"/>
    <col min="4363" max="4363" width="10.42578125" style="706" customWidth="1"/>
    <col min="4364" max="4364" width="42.5703125" style="706" customWidth="1"/>
    <col min="4365" max="4365" width="16.42578125" style="706" customWidth="1"/>
    <col min="4366" max="4366" width="12.7109375" style="706" customWidth="1"/>
    <col min="4367" max="4367" width="30.85546875" style="706" customWidth="1"/>
    <col min="4368" max="4368" width="18.85546875" style="706" customWidth="1"/>
    <col min="4369" max="4608" width="9.140625" style="706"/>
    <col min="4609" max="4609" width="4.140625" style="706" customWidth="1"/>
    <col min="4610" max="4610" width="22.28515625" style="706" customWidth="1"/>
    <col min="4611" max="4611" width="14.42578125" style="706" customWidth="1"/>
    <col min="4612" max="4612" width="23.5703125" style="706" customWidth="1"/>
    <col min="4613" max="4613" width="31.85546875" style="706" customWidth="1"/>
    <col min="4614" max="4614" width="14.7109375" style="706" customWidth="1"/>
    <col min="4615" max="4615" width="14.28515625" style="706" customWidth="1"/>
    <col min="4616" max="4616" width="24.7109375" style="706" customWidth="1"/>
    <col min="4617" max="4617" width="10.42578125" style="706" customWidth="1"/>
    <col min="4618" max="4618" width="11.7109375" style="706" customWidth="1"/>
    <col min="4619" max="4619" width="10.42578125" style="706" customWidth="1"/>
    <col min="4620" max="4620" width="42.5703125" style="706" customWidth="1"/>
    <col min="4621" max="4621" width="16.42578125" style="706" customWidth="1"/>
    <col min="4622" max="4622" width="12.7109375" style="706" customWidth="1"/>
    <col min="4623" max="4623" width="30.85546875" style="706" customWidth="1"/>
    <col min="4624" max="4624" width="18.85546875" style="706" customWidth="1"/>
    <col min="4625" max="4864" width="9.140625" style="706"/>
    <col min="4865" max="4865" width="4.140625" style="706" customWidth="1"/>
    <col min="4866" max="4866" width="22.28515625" style="706" customWidth="1"/>
    <col min="4867" max="4867" width="14.42578125" style="706" customWidth="1"/>
    <col min="4868" max="4868" width="23.5703125" style="706" customWidth="1"/>
    <col min="4869" max="4869" width="31.85546875" style="706" customWidth="1"/>
    <col min="4870" max="4870" width="14.7109375" style="706" customWidth="1"/>
    <col min="4871" max="4871" width="14.28515625" style="706" customWidth="1"/>
    <col min="4872" max="4872" width="24.7109375" style="706" customWidth="1"/>
    <col min="4873" max="4873" width="10.42578125" style="706" customWidth="1"/>
    <col min="4874" max="4874" width="11.7109375" style="706" customWidth="1"/>
    <col min="4875" max="4875" width="10.42578125" style="706" customWidth="1"/>
    <col min="4876" max="4876" width="42.5703125" style="706" customWidth="1"/>
    <col min="4877" max="4877" width="16.42578125" style="706" customWidth="1"/>
    <col min="4878" max="4878" width="12.7109375" style="706" customWidth="1"/>
    <col min="4879" max="4879" width="30.85546875" style="706" customWidth="1"/>
    <col min="4880" max="4880" width="18.85546875" style="706" customWidth="1"/>
    <col min="4881" max="5120" width="9.140625" style="706"/>
    <col min="5121" max="5121" width="4.140625" style="706" customWidth="1"/>
    <col min="5122" max="5122" width="22.28515625" style="706" customWidth="1"/>
    <col min="5123" max="5123" width="14.42578125" style="706" customWidth="1"/>
    <col min="5124" max="5124" width="23.5703125" style="706" customWidth="1"/>
    <col min="5125" max="5125" width="31.85546875" style="706" customWidth="1"/>
    <col min="5126" max="5126" width="14.7109375" style="706" customWidth="1"/>
    <col min="5127" max="5127" width="14.28515625" style="706" customWidth="1"/>
    <col min="5128" max="5128" width="24.7109375" style="706" customWidth="1"/>
    <col min="5129" max="5129" width="10.42578125" style="706" customWidth="1"/>
    <col min="5130" max="5130" width="11.7109375" style="706" customWidth="1"/>
    <col min="5131" max="5131" width="10.42578125" style="706" customWidth="1"/>
    <col min="5132" max="5132" width="42.5703125" style="706" customWidth="1"/>
    <col min="5133" max="5133" width="16.42578125" style="706" customWidth="1"/>
    <col min="5134" max="5134" width="12.7109375" style="706" customWidth="1"/>
    <col min="5135" max="5135" width="30.85546875" style="706" customWidth="1"/>
    <col min="5136" max="5136" width="18.85546875" style="706" customWidth="1"/>
    <col min="5137" max="5376" width="9.140625" style="706"/>
    <col min="5377" max="5377" width="4.140625" style="706" customWidth="1"/>
    <col min="5378" max="5378" width="22.28515625" style="706" customWidth="1"/>
    <col min="5379" max="5379" width="14.42578125" style="706" customWidth="1"/>
    <col min="5380" max="5380" width="23.5703125" style="706" customWidth="1"/>
    <col min="5381" max="5381" width="31.85546875" style="706" customWidth="1"/>
    <col min="5382" max="5382" width="14.7109375" style="706" customWidth="1"/>
    <col min="5383" max="5383" width="14.28515625" style="706" customWidth="1"/>
    <col min="5384" max="5384" width="24.7109375" style="706" customWidth="1"/>
    <col min="5385" max="5385" width="10.42578125" style="706" customWidth="1"/>
    <col min="5386" max="5386" width="11.7109375" style="706" customWidth="1"/>
    <col min="5387" max="5387" width="10.42578125" style="706" customWidth="1"/>
    <col min="5388" max="5388" width="42.5703125" style="706" customWidth="1"/>
    <col min="5389" max="5389" width="16.42578125" style="706" customWidth="1"/>
    <col min="5390" max="5390" width="12.7109375" style="706" customWidth="1"/>
    <col min="5391" max="5391" width="30.85546875" style="706" customWidth="1"/>
    <col min="5392" max="5392" width="18.85546875" style="706" customWidth="1"/>
    <col min="5393" max="5632" width="9.140625" style="706"/>
    <col min="5633" max="5633" width="4.140625" style="706" customWidth="1"/>
    <col min="5634" max="5634" width="22.28515625" style="706" customWidth="1"/>
    <col min="5635" max="5635" width="14.42578125" style="706" customWidth="1"/>
    <col min="5636" max="5636" width="23.5703125" style="706" customWidth="1"/>
    <col min="5637" max="5637" width="31.85546875" style="706" customWidth="1"/>
    <col min="5638" max="5638" width="14.7109375" style="706" customWidth="1"/>
    <col min="5639" max="5639" width="14.28515625" style="706" customWidth="1"/>
    <col min="5640" max="5640" width="24.7109375" style="706" customWidth="1"/>
    <col min="5641" max="5641" width="10.42578125" style="706" customWidth="1"/>
    <col min="5642" max="5642" width="11.7109375" style="706" customWidth="1"/>
    <col min="5643" max="5643" width="10.42578125" style="706" customWidth="1"/>
    <col min="5644" max="5644" width="42.5703125" style="706" customWidth="1"/>
    <col min="5645" max="5645" width="16.42578125" style="706" customWidth="1"/>
    <col min="5646" max="5646" width="12.7109375" style="706" customWidth="1"/>
    <col min="5647" max="5647" width="30.85546875" style="706" customWidth="1"/>
    <col min="5648" max="5648" width="18.85546875" style="706" customWidth="1"/>
    <col min="5649" max="5888" width="9.140625" style="706"/>
    <col min="5889" max="5889" width="4.140625" style="706" customWidth="1"/>
    <col min="5890" max="5890" width="22.28515625" style="706" customWidth="1"/>
    <col min="5891" max="5891" width="14.42578125" style="706" customWidth="1"/>
    <col min="5892" max="5892" width="23.5703125" style="706" customWidth="1"/>
    <col min="5893" max="5893" width="31.85546875" style="706" customWidth="1"/>
    <col min="5894" max="5894" width="14.7109375" style="706" customWidth="1"/>
    <col min="5895" max="5895" width="14.28515625" style="706" customWidth="1"/>
    <col min="5896" max="5896" width="24.7109375" style="706" customWidth="1"/>
    <col min="5897" max="5897" width="10.42578125" style="706" customWidth="1"/>
    <col min="5898" max="5898" width="11.7109375" style="706" customWidth="1"/>
    <col min="5899" max="5899" width="10.42578125" style="706" customWidth="1"/>
    <col min="5900" max="5900" width="42.5703125" style="706" customWidth="1"/>
    <col min="5901" max="5901" width="16.42578125" style="706" customWidth="1"/>
    <col min="5902" max="5902" width="12.7109375" style="706" customWidth="1"/>
    <col min="5903" max="5903" width="30.85546875" style="706" customWidth="1"/>
    <col min="5904" max="5904" width="18.85546875" style="706" customWidth="1"/>
    <col min="5905" max="6144" width="9.140625" style="706"/>
    <col min="6145" max="6145" width="4.140625" style="706" customWidth="1"/>
    <col min="6146" max="6146" width="22.28515625" style="706" customWidth="1"/>
    <col min="6147" max="6147" width="14.42578125" style="706" customWidth="1"/>
    <col min="6148" max="6148" width="23.5703125" style="706" customWidth="1"/>
    <col min="6149" max="6149" width="31.85546875" style="706" customWidth="1"/>
    <col min="6150" max="6150" width="14.7109375" style="706" customWidth="1"/>
    <col min="6151" max="6151" width="14.28515625" style="706" customWidth="1"/>
    <col min="6152" max="6152" width="24.7109375" style="706" customWidth="1"/>
    <col min="6153" max="6153" width="10.42578125" style="706" customWidth="1"/>
    <col min="6154" max="6154" width="11.7109375" style="706" customWidth="1"/>
    <col min="6155" max="6155" width="10.42578125" style="706" customWidth="1"/>
    <col min="6156" max="6156" width="42.5703125" style="706" customWidth="1"/>
    <col min="6157" max="6157" width="16.42578125" style="706" customWidth="1"/>
    <col min="6158" max="6158" width="12.7109375" style="706" customWidth="1"/>
    <col min="6159" max="6159" width="30.85546875" style="706" customWidth="1"/>
    <col min="6160" max="6160" width="18.85546875" style="706" customWidth="1"/>
    <col min="6161" max="6400" width="9.140625" style="706"/>
    <col min="6401" max="6401" width="4.140625" style="706" customWidth="1"/>
    <col min="6402" max="6402" width="22.28515625" style="706" customWidth="1"/>
    <col min="6403" max="6403" width="14.42578125" style="706" customWidth="1"/>
    <col min="6404" max="6404" width="23.5703125" style="706" customWidth="1"/>
    <col min="6405" max="6405" width="31.85546875" style="706" customWidth="1"/>
    <col min="6406" max="6406" width="14.7109375" style="706" customWidth="1"/>
    <col min="6407" max="6407" width="14.28515625" style="706" customWidth="1"/>
    <col min="6408" max="6408" width="24.7109375" style="706" customWidth="1"/>
    <col min="6409" max="6409" width="10.42578125" style="706" customWidth="1"/>
    <col min="6410" max="6410" width="11.7109375" style="706" customWidth="1"/>
    <col min="6411" max="6411" width="10.42578125" style="706" customWidth="1"/>
    <col min="6412" max="6412" width="42.5703125" style="706" customWidth="1"/>
    <col min="6413" max="6413" width="16.42578125" style="706" customWidth="1"/>
    <col min="6414" max="6414" width="12.7109375" style="706" customWidth="1"/>
    <col min="6415" max="6415" width="30.85546875" style="706" customWidth="1"/>
    <col min="6416" max="6416" width="18.85546875" style="706" customWidth="1"/>
    <col min="6417" max="6656" width="9.140625" style="706"/>
    <col min="6657" max="6657" width="4.140625" style="706" customWidth="1"/>
    <col min="6658" max="6658" width="22.28515625" style="706" customWidth="1"/>
    <col min="6659" max="6659" width="14.42578125" style="706" customWidth="1"/>
    <col min="6660" max="6660" width="23.5703125" style="706" customWidth="1"/>
    <col min="6661" max="6661" width="31.85546875" style="706" customWidth="1"/>
    <col min="6662" max="6662" width="14.7109375" style="706" customWidth="1"/>
    <col min="6663" max="6663" width="14.28515625" style="706" customWidth="1"/>
    <col min="6664" max="6664" width="24.7109375" style="706" customWidth="1"/>
    <col min="6665" max="6665" width="10.42578125" style="706" customWidth="1"/>
    <col min="6666" max="6666" width="11.7109375" style="706" customWidth="1"/>
    <col min="6667" max="6667" width="10.42578125" style="706" customWidth="1"/>
    <col min="6668" max="6668" width="42.5703125" style="706" customWidth="1"/>
    <col min="6669" max="6669" width="16.42578125" style="706" customWidth="1"/>
    <col min="6670" max="6670" width="12.7109375" style="706" customWidth="1"/>
    <col min="6671" max="6671" width="30.85546875" style="706" customWidth="1"/>
    <col min="6672" max="6672" width="18.85546875" style="706" customWidth="1"/>
    <col min="6673" max="6912" width="9.140625" style="706"/>
    <col min="6913" max="6913" width="4.140625" style="706" customWidth="1"/>
    <col min="6914" max="6914" width="22.28515625" style="706" customWidth="1"/>
    <col min="6915" max="6915" width="14.42578125" style="706" customWidth="1"/>
    <col min="6916" max="6916" width="23.5703125" style="706" customWidth="1"/>
    <col min="6917" max="6917" width="31.85546875" style="706" customWidth="1"/>
    <col min="6918" max="6918" width="14.7109375" style="706" customWidth="1"/>
    <col min="6919" max="6919" width="14.28515625" style="706" customWidth="1"/>
    <col min="6920" max="6920" width="24.7109375" style="706" customWidth="1"/>
    <col min="6921" max="6921" width="10.42578125" style="706" customWidth="1"/>
    <col min="6922" max="6922" width="11.7109375" style="706" customWidth="1"/>
    <col min="6923" max="6923" width="10.42578125" style="706" customWidth="1"/>
    <col min="6924" max="6924" width="42.5703125" style="706" customWidth="1"/>
    <col min="6925" max="6925" width="16.42578125" style="706" customWidth="1"/>
    <col min="6926" max="6926" width="12.7109375" style="706" customWidth="1"/>
    <col min="6927" max="6927" width="30.85546875" style="706" customWidth="1"/>
    <col min="6928" max="6928" width="18.85546875" style="706" customWidth="1"/>
    <col min="6929" max="7168" width="9.140625" style="706"/>
    <col min="7169" max="7169" width="4.140625" style="706" customWidth="1"/>
    <col min="7170" max="7170" width="22.28515625" style="706" customWidth="1"/>
    <col min="7171" max="7171" width="14.42578125" style="706" customWidth="1"/>
    <col min="7172" max="7172" width="23.5703125" style="706" customWidth="1"/>
    <col min="7173" max="7173" width="31.85546875" style="706" customWidth="1"/>
    <col min="7174" max="7174" width="14.7109375" style="706" customWidth="1"/>
    <col min="7175" max="7175" width="14.28515625" style="706" customWidth="1"/>
    <col min="7176" max="7176" width="24.7109375" style="706" customWidth="1"/>
    <col min="7177" max="7177" width="10.42578125" style="706" customWidth="1"/>
    <col min="7178" max="7178" width="11.7109375" style="706" customWidth="1"/>
    <col min="7179" max="7179" width="10.42578125" style="706" customWidth="1"/>
    <col min="7180" max="7180" width="42.5703125" style="706" customWidth="1"/>
    <col min="7181" max="7181" width="16.42578125" style="706" customWidth="1"/>
    <col min="7182" max="7182" width="12.7109375" style="706" customWidth="1"/>
    <col min="7183" max="7183" width="30.85546875" style="706" customWidth="1"/>
    <col min="7184" max="7184" width="18.85546875" style="706" customWidth="1"/>
    <col min="7185" max="7424" width="9.140625" style="706"/>
    <col min="7425" max="7425" width="4.140625" style="706" customWidth="1"/>
    <col min="7426" max="7426" width="22.28515625" style="706" customWidth="1"/>
    <col min="7427" max="7427" width="14.42578125" style="706" customWidth="1"/>
    <col min="7428" max="7428" width="23.5703125" style="706" customWidth="1"/>
    <col min="7429" max="7429" width="31.85546875" style="706" customWidth="1"/>
    <col min="7430" max="7430" width="14.7109375" style="706" customWidth="1"/>
    <col min="7431" max="7431" width="14.28515625" style="706" customWidth="1"/>
    <col min="7432" max="7432" width="24.7109375" style="706" customWidth="1"/>
    <col min="7433" max="7433" width="10.42578125" style="706" customWidth="1"/>
    <col min="7434" max="7434" width="11.7109375" style="706" customWidth="1"/>
    <col min="7435" max="7435" width="10.42578125" style="706" customWidth="1"/>
    <col min="7436" max="7436" width="42.5703125" style="706" customWidth="1"/>
    <col min="7437" max="7437" width="16.42578125" style="706" customWidth="1"/>
    <col min="7438" max="7438" width="12.7109375" style="706" customWidth="1"/>
    <col min="7439" max="7439" width="30.85546875" style="706" customWidth="1"/>
    <col min="7440" max="7440" width="18.85546875" style="706" customWidth="1"/>
    <col min="7441" max="7680" width="9.140625" style="706"/>
    <col min="7681" max="7681" width="4.140625" style="706" customWidth="1"/>
    <col min="7682" max="7682" width="22.28515625" style="706" customWidth="1"/>
    <col min="7683" max="7683" width="14.42578125" style="706" customWidth="1"/>
    <col min="7684" max="7684" width="23.5703125" style="706" customWidth="1"/>
    <col min="7685" max="7685" width="31.85546875" style="706" customWidth="1"/>
    <col min="7686" max="7686" width="14.7109375" style="706" customWidth="1"/>
    <col min="7687" max="7687" width="14.28515625" style="706" customWidth="1"/>
    <col min="7688" max="7688" width="24.7109375" style="706" customWidth="1"/>
    <col min="7689" max="7689" width="10.42578125" style="706" customWidth="1"/>
    <col min="7690" max="7690" width="11.7109375" style="706" customWidth="1"/>
    <col min="7691" max="7691" width="10.42578125" style="706" customWidth="1"/>
    <col min="7692" max="7692" width="42.5703125" style="706" customWidth="1"/>
    <col min="7693" max="7693" width="16.42578125" style="706" customWidth="1"/>
    <col min="7694" max="7694" width="12.7109375" style="706" customWidth="1"/>
    <col min="7695" max="7695" width="30.85546875" style="706" customWidth="1"/>
    <col min="7696" max="7696" width="18.85546875" style="706" customWidth="1"/>
    <col min="7697" max="7936" width="9.140625" style="706"/>
    <col min="7937" max="7937" width="4.140625" style="706" customWidth="1"/>
    <col min="7938" max="7938" width="22.28515625" style="706" customWidth="1"/>
    <col min="7939" max="7939" width="14.42578125" style="706" customWidth="1"/>
    <col min="7940" max="7940" width="23.5703125" style="706" customWidth="1"/>
    <col min="7941" max="7941" width="31.85546875" style="706" customWidth="1"/>
    <col min="7942" max="7942" width="14.7109375" style="706" customWidth="1"/>
    <col min="7943" max="7943" width="14.28515625" style="706" customWidth="1"/>
    <col min="7944" max="7944" width="24.7109375" style="706" customWidth="1"/>
    <col min="7945" max="7945" width="10.42578125" style="706" customWidth="1"/>
    <col min="7946" max="7946" width="11.7109375" style="706" customWidth="1"/>
    <col min="7947" max="7947" width="10.42578125" style="706" customWidth="1"/>
    <col min="7948" max="7948" width="42.5703125" style="706" customWidth="1"/>
    <col min="7949" max="7949" width="16.42578125" style="706" customWidth="1"/>
    <col min="7950" max="7950" width="12.7109375" style="706" customWidth="1"/>
    <col min="7951" max="7951" width="30.85546875" style="706" customWidth="1"/>
    <col min="7952" max="7952" width="18.85546875" style="706" customWidth="1"/>
    <col min="7953" max="8192" width="9.140625" style="706"/>
    <col min="8193" max="8193" width="4.140625" style="706" customWidth="1"/>
    <col min="8194" max="8194" width="22.28515625" style="706" customWidth="1"/>
    <col min="8195" max="8195" width="14.42578125" style="706" customWidth="1"/>
    <col min="8196" max="8196" width="23.5703125" style="706" customWidth="1"/>
    <col min="8197" max="8197" width="31.85546875" style="706" customWidth="1"/>
    <col min="8198" max="8198" width="14.7109375" style="706" customWidth="1"/>
    <col min="8199" max="8199" width="14.28515625" style="706" customWidth="1"/>
    <col min="8200" max="8200" width="24.7109375" style="706" customWidth="1"/>
    <col min="8201" max="8201" width="10.42578125" style="706" customWidth="1"/>
    <col min="8202" max="8202" width="11.7109375" style="706" customWidth="1"/>
    <col min="8203" max="8203" width="10.42578125" style="706" customWidth="1"/>
    <col min="8204" max="8204" width="42.5703125" style="706" customWidth="1"/>
    <col min="8205" max="8205" width="16.42578125" style="706" customWidth="1"/>
    <col min="8206" max="8206" width="12.7109375" style="706" customWidth="1"/>
    <col min="8207" max="8207" width="30.85546875" style="706" customWidth="1"/>
    <col min="8208" max="8208" width="18.85546875" style="706" customWidth="1"/>
    <col min="8209" max="8448" width="9.140625" style="706"/>
    <col min="8449" max="8449" width="4.140625" style="706" customWidth="1"/>
    <col min="8450" max="8450" width="22.28515625" style="706" customWidth="1"/>
    <col min="8451" max="8451" width="14.42578125" style="706" customWidth="1"/>
    <col min="8452" max="8452" width="23.5703125" style="706" customWidth="1"/>
    <col min="8453" max="8453" width="31.85546875" style="706" customWidth="1"/>
    <col min="8454" max="8454" width="14.7109375" style="706" customWidth="1"/>
    <col min="8455" max="8455" width="14.28515625" style="706" customWidth="1"/>
    <col min="8456" max="8456" width="24.7109375" style="706" customWidth="1"/>
    <col min="8457" max="8457" width="10.42578125" style="706" customWidth="1"/>
    <col min="8458" max="8458" width="11.7109375" style="706" customWidth="1"/>
    <col min="8459" max="8459" width="10.42578125" style="706" customWidth="1"/>
    <col min="8460" max="8460" width="42.5703125" style="706" customWidth="1"/>
    <col min="8461" max="8461" width="16.42578125" style="706" customWidth="1"/>
    <col min="8462" max="8462" width="12.7109375" style="706" customWidth="1"/>
    <col min="8463" max="8463" width="30.85546875" style="706" customWidth="1"/>
    <col min="8464" max="8464" width="18.85546875" style="706" customWidth="1"/>
    <col min="8465" max="8704" width="9.140625" style="706"/>
    <col min="8705" max="8705" width="4.140625" style="706" customWidth="1"/>
    <col min="8706" max="8706" width="22.28515625" style="706" customWidth="1"/>
    <col min="8707" max="8707" width="14.42578125" style="706" customWidth="1"/>
    <col min="8708" max="8708" width="23.5703125" style="706" customWidth="1"/>
    <col min="8709" max="8709" width="31.85546875" style="706" customWidth="1"/>
    <col min="8710" max="8710" width="14.7109375" style="706" customWidth="1"/>
    <col min="8711" max="8711" width="14.28515625" style="706" customWidth="1"/>
    <col min="8712" max="8712" width="24.7109375" style="706" customWidth="1"/>
    <col min="8713" max="8713" width="10.42578125" style="706" customWidth="1"/>
    <col min="8714" max="8714" width="11.7109375" style="706" customWidth="1"/>
    <col min="8715" max="8715" width="10.42578125" style="706" customWidth="1"/>
    <col min="8716" max="8716" width="42.5703125" style="706" customWidth="1"/>
    <col min="8717" max="8717" width="16.42578125" style="706" customWidth="1"/>
    <col min="8718" max="8718" width="12.7109375" style="706" customWidth="1"/>
    <col min="8719" max="8719" width="30.85546875" style="706" customWidth="1"/>
    <col min="8720" max="8720" width="18.85546875" style="706" customWidth="1"/>
    <col min="8721" max="8960" width="9.140625" style="706"/>
    <col min="8961" max="8961" width="4.140625" style="706" customWidth="1"/>
    <col min="8962" max="8962" width="22.28515625" style="706" customWidth="1"/>
    <col min="8963" max="8963" width="14.42578125" style="706" customWidth="1"/>
    <col min="8964" max="8964" width="23.5703125" style="706" customWidth="1"/>
    <col min="8965" max="8965" width="31.85546875" style="706" customWidth="1"/>
    <col min="8966" max="8966" width="14.7109375" style="706" customWidth="1"/>
    <col min="8967" max="8967" width="14.28515625" style="706" customWidth="1"/>
    <col min="8968" max="8968" width="24.7109375" style="706" customWidth="1"/>
    <col min="8969" max="8969" width="10.42578125" style="706" customWidth="1"/>
    <col min="8970" max="8970" width="11.7109375" style="706" customWidth="1"/>
    <col min="8971" max="8971" width="10.42578125" style="706" customWidth="1"/>
    <col min="8972" max="8972" width="42.5703125" style="706" customWidth="1"/>
    <col min="8973" max="8973" width="16.42578125" style="706" customWidth="1"/>
    <col min="8974" max="8974" width="12.7109375" style="706" customWidth="1"/>
    <col min="8975" max="8975" width="30.85546875" style="706" customWidth="1"/>
    <col min="8976" max="8976" width="18.85546875" style="706" customWidth="1"/>
    <col min="8977" max="9216" width="9.140625" style="706"/>
    <col min="9217" max="9217" width="4.140625" style="706" customWidth="1"/>
    <col min="9218" max="9218" width="22.28515625" style="706" customWidth="1"/>
    <col min="9219" max="9219" width="14.42578125" style="706" customWidth="1"/>
    <col min="9220" max="9220" width="23.5703125" style="706" customWidth="1"/>
    <col min="9221" max="9221" width="31.85546875" style="706" customWidth="1"/>
    <col min="9222" max="9222" width="14.7109375" style="706" customWidth="1"/>
    <col min="9223" max="9223" width="14.28515625" style="706" customWidth="1"/>
    <col min="9224" max="9224" width="24.7109375" style="706" customWidth="1"/>
    <col min="9225" max="9225" width="10.42578125" style="706" customWidth="1"/>
    <col min="9226" max="9226" width="11.7109375" style="706" customWidth="1"/>
    <col min="9227" max="9227" width="10.42578125" style="706" customWidth="1"/>
    <col min="9228" max="9228" width="42.5703125" style="706" customWidth="1"/>
    <col min="9229" max="9229" width="16.42578125" style="706" customWidth="1"/>
    <col min="9230" max="9230" width="12.7109375" style="706" customWidth="1"/>
    <col min="9231" max="9231" width="30.85546875" style="706" customWidth="1"/>
    <col min="9232" max="9232" width="18.85546875" style="706" customWidth="1"/>
    <col min="9233" max="9472" width="9.140625" style="706"/>
    <col min="9473" max="9473" width="4.140625" style="706" customWidth="1"/>
    <col min="9474" max="9474" width="22.28515625" style="706" customWidth="1"/>
    <col min="9475" max="9475" width="14.42578125" style="706" customWidth="1"/>
    <col min="9476" max="9476" width="23.5703125" style="706" customWidth="1"/>
    <col min="9477" max="9477" width="31.85546875" style="706" customWidth="1"/>
    <col min="9478" max="9478" width="14.7109375" style="706" customWidth="1"/>
    <col min="9479" max="9479" width="14.28515625" style="706" customWidth="1"/>
    <col min="9480" max="9480" width="24.7109375" style="706" customWidth="1"/>
    <col min="9481" max="9481" width="10.42578125" style="706" customWidth="1"/>
    <col min="9482" max="9482" width="11.7109375" style="706" customWidth="1"/>
    <col min="9483" max="9483" width="10.42578125" style="706" customWidth="1"/>
    <col min="9484" max="9484" width="42.5703125" style="706" customWidth="1"/>
    <col min="9485" max="9485" width="16.42578125" style="706" customWidth="1"/>
    <col min="9486" max="9486" width="12.7109375" style="706" customWidth="1"/>
    <col min="9487" max="9487" width="30.85546875" style="706" customWidth="1"/>
    <col min="9488" max="9488" width="18.85546875" style="706" customWidth="1"/>
    <col min="9489" max="9728" width="9.140625" style="706"/>
    <col min="9729" max="9729" width="4.140625" style="706" customWidth="1"/>
    <col min="9730" max="9730" width="22.28515625" style="706" customWidth="1"/>
    <col min="9731" max="9731" width="14.42578125" style="706" customWidth="1"/>
    <col min="9732" max="9732" width="23.5703125" style="706" customWidth="1"/>
    <col min="9733" max="9733" width="31.85546875" style="706" customWidth="1"/>
    <col min="9734" max="9734" width="14.7109375" style="706" customWidth="1"/>
    <col min="9735" max="9735" width="14.28515625" style="706" customWidth="1"/>
    <col min="9736" max="9736" width="24.7109375" style="706" customWidth="1"/>
    <col min="9737" max="9737" width="10.42578125" style="706" customWidth="1"/>
    <col min="9738" max="9738" width="11.7109375" style="706" customWidth="1"/>
    <col min="9739" max="9739" width="10.42578125" style="706" customWidth="1"/>
    <col min="9740" max="9740" width="42.5703125" style="706" customWidth="1"/>
    <col min="9741" max="9741" width="16.42578125" style="706" customWidth="1"/>
    <col min="9742" max="9742" width="12.7109375" style="706" customWidth="1"/>
    <col min="9743" max="9743" width="30.85546875" style="706" customWidth="1"/>
    <col min="9744" max="9744" width="18.85546875" style="706" customWidth="1"/>
    <col min="9745" max="9984" width="9.140625" style="706"/>
    <col min="9985" max="9985" width="4.140625" style="706" customWidth="1"/>
    <col min="9986" max="9986" width="22.28515625" style="706" customWidth="1"/>
    <col min="9987" max="9987" width="14.42578125" style="706" customWidth="1"/>
    <col min="9988" max="9988" width="23.5703125" style="706" customWidth="1"/>
    <col min="9989" max="9989" width="31.85546875" style="706" customWidth="1"/>
    <col min="9990" max="9990" width="14.7109375" style="706" customWidth="1"/>
    <col min="9991" max="9991" width="14.28515625" style="706" customWidth="1"/>
    <col min="9992" max="9992" width="24.7109375" style="706" customWidth="1"/>
    <col min="9993" max="9993" width="10.42578125" style="706" customWidth="1"/>
    <col min="9994" max="9994" width="11.7109375" style="706" customWidth="1"/>
    <col min="9995" max="9995" width="10.42578125" style="706" customWidth="1"/>
    <col min="9996" max="9996" width="42.5703125" style="706" customWidth="1"/>
    <col min="9997" max="9997" width="16.42578125" style="706" customWidth="1"/>
    <col min="9998" max="9998" width="12.7109375" style="706" customWidth="1"/>
    <col min="9999" max="9999" width="30.85546875" style="706" customWidth="1"/>
    <col min="10000" max="10000" width="18.85546875" style="706" customWidth="1"/>
    <col min="10001" max="10240" width="9.140625" style="706"/>
    <col min="10241" max="10241" width="4.140625" style="706" customWidth="1"/>
    <col min="10242" max="10242" width="22.28515625" style="706" customWidth="1"/>
    <col min="10243" max="10243" width="14.42578125" style="706" customWidth="1"/>
    <col min="10244" max="10244" width="23.5703125" style="706" customWidth="1"/>
    <col min="10245" max="10245" width="31.85546875" style="706" customWidth="1"/>
    <col min="10246" max="10246" width="14.7109375" style="706" customWidth="1"/>
    <col min="10247" max="10247" width="14.28515625" style="706" customWidth="1"/>
    <col min="10248" max="10248" width="24.7109375" style="706" customWidth="1"/>
    <col min="10249" max="10249" width="10.42578125" style="706" customWidth="1"/>
    <col min="10250" max="10250" width="11.7109375" style="706" customWidth="1"/>
    <col min="10251" max="10251" width="10.42578125" style="706" customWidth="1"/>
    <col min="10252" max="10252" width="42.5703125" style="706" customWidth="1"/>
    <col min="10253" max="10253" width="16.42578125" style="706" customWidth="1"/>
    <col min="10254" max="10254" width="12.7109375" style="706" customWidth="1"/>
    <col min="10255" max="10255" width="30.85546875" style="706" customWidth="1"/>
    <col min="10256" max="10256" width="18.85546875" style="706" customWidth="1"/>
    <col min="10257" max="10496" width="9.140625" style="706"/>
    <col min="10497" max="10497" width="4.140625" style="706" customWidth="1"/>
    <col min="10498" max="10498" width="22.28515625" style="706" customWidth="1"/>
    <col min="10499" max="10499" width="14.42578125" style="706" customWidth="1"/>
    <col min="10500" max="10500" width="23.5703125" style="706" customWidth="1"/>
    <col min="10501" max="10501" width="31.85546875" style="706" customWidth="1"/>
    <col min="10502" max="10502" width="14.7109375" style="706" customWidth="1"/>
    <col min="10503" max="10503" width="14.28515625" style="706" customWidth="1"/>
    <col min="10504" max="10504" width="24.7109375" style="706" customWidth="1"/>
    <col min="10505" max="10505" width="10.42578125" style="706" customWidth="1"/>
    <col min="10506" max="10506" width="11.7109375" style="706" customWidth="1"/>
    <col min="10507" max="10507" width="10.42578125" style="706" customWidth="1"/>
    <col min="10508" max="10508" width="42.5703125" style="706" customWidth="1"/>
    <col min="10509" max="10509" width="16.42578125" style="706" customWidth="1"/>
    <col min="10510" max="10510" width="12.7109375" style="706" customWidth="1"/>
    <col min="10511" max="10511" width="30.85546875" style="706" customWidth="1"/>
    <col min="10512" max="10512" width="18.85546875" style="706" customWidth="1"/>
    <col min="10513" max="10752" width="9.140625" style="706"/>
    <col min="10753" max="10753" width="4.140625" style="706" customWidth="1"/>
    <col min="10754" max="10754" width="22.28515625" style="706" customWidth="1"/>
    <col min="10755" max="10755" width="14.42578125" style="706" customWidth="1"/>
    <col min="10756" max="10756" width="23.5703125" style="706" customWidth="1"/>
    <col min="10757" max="10757" width="31.85546875" style="706" customWidth="1"/>
    <col min="10758" max="10758" width="14.7109375" style="706" customWidth="1"/>
    <col min="10759" max="10759" width="14.28515625" style="706" customWidth="1"/>
    <col min="10760" max="10760" width="24.7109375" style="706" customWidth="1"/>
    <col min="10761" max="10761" width="10.42578125" style="706" customWidth="1"/>
    <col min="10762" max="10762" width="11.7109375" style="706" customWidth="1"/>
    <col min="10763" max="10763" width="10.42578125" style="706" customWidth="1"/>
    <col min="10764" max="10764" width="42.5703125" style="706" customWidth="1"/>
    <col min="10765" max="10765" width="16.42578125" style="706" customWidth="1"/>
    <col min="10766" max="10766" width="12.7109375" style="706" customWidth="1"/>
    <col min="10767" max="10767" width="30.85546875" style="706" customWidth="1"/>
    <col min="10768" max="10768" width="18.85546875" style="706" customWidth="1"/>
    <col min="10769" max="11008" width="9.140625" style="706"/>
    <col min="11009" max="11009" width="4.140625" style="706" customWidth="1"/>
    <col min="11010" max="11010" width="22.28515625" style="706" customWidth="1"/>
    <col min="11011" max="11011" width="14.42578125" style="706" customWidth="1"/>
    <col min="11012" max="11012" width="23.5703125" style="706" customWidth="1"/>
    <col min="11013" max="11013" width="31.85546875" style="706" customWidth="1"/>
    <col min="11014" max="11014" width="14.7109375" style="706" customWidth="1"/>
    <col min="11015" max="11015" width="14.28515625" style="706" customWidth="1"/>
    <col min="11016" max="11016" width="24.7109375" style="706" customWidth="1"/>
    <col min="11017" max="11017" width="10.42578125" style="706" customWidth="1"/>
    <col min="11018" max="11018" width="11.7109375" style="706" customWidth="1"/>
    <col min="11019" max="11019" width="10.42578125" style="706" customWidth="1"/>
    <col min="11020" max="11020" width="42.5703125" style="706" customWidth="1"/>
    <col min="11021" max="11021" width="16.42578125" style="706" customWidth="1"/>
    <col min="11022" max="11022" width="12.7109375" style="706" customWidth="1"/>
    <col min="11023" max="11023" width="30.85546875" style="706" customWidth="1"/>
    <col min="11024" max="11024" width="18.85546875" style="706" customWidth="1"/>
    <col min="11025" max="11264" width="9.140625" style="706"/>
    <col min="11265" max="11265" width="4.140625" style="706" customWidth="1"/>
    <col min="11266" max="11266" width="22.28515625" style="706" customWidth="1"/>
    <col min="11267" max="11267" width="14.42578125" style="706" customWidth="1"/>
    <col min="11268" max="11268" width="23.5703125" style="706" customWidth="1"/>
    <col min="11269" max="11269" width="31.85546875" style="706" customWidth="1"/>
    <col min="11270" max="11270" width="14.7109375" style="706" customWidth="1"/>
    <col min="11271" max="11271" width="14.28515625" style="706" customWidth="1"/>
    <col min="11272" max="11272" width="24.7109375" style="706" customWidth="1"/>
    <col min="11273" max="11273" width="10.42578125" style="706" customWidth="1"/>
    <col min="11274" max="11274" width="11.7109375" style="706" customWidth="1"/>
    <col min="11275" max="11275" width="10.42578125" style="706" customWidth="1"/>
    <col min="11276" max="11276" width="42.5703125" style="706" customWidth="1"/>
    <col min="11277" max="11277" width="16.42578125" style="706" customWidth="1"/>
    <col min="11278" max="11278" width="12.7109375" style="706" customWidth="1"/>
    <col min="11279" max="11279" width="30.85546875" style="706" customWidth="1"/>
    <col min="11280" max="11280" width="18.85546875" style="706" customWidth="1"/>
    <col min="11281" max="11520" width="9.140625" style="706"/>
    <col min="11521" max="11521" width="4.140625" style="706" customWidth="1"/>
    <col min="11522" max="11522" width="22.28515625" style="706" customWidth="1"/>
    <col min="11523" max="11523" width="14.42578125" style="706" customWidth="1"/>
    <col min="11524" max="11524" width="23.5703125" style="706" customWidth="1"/>
    <col min="11525" max="11525" width="31.85546875" style="706" customWidth="1"/>
    <col min="11526" max="11526" width="14.7109375" style="706" customWidth="1"/>
    <col min="11527" max="11527" width="14.28515625" style="706" customWidth="1"/>
    <col min="11528" max="11528" width="24.7109375" style="706" customWidth="1"/>
    <col min="11529" max="11529" width="10.42578125" style="706" customWidth="1"/>
    <col min="11530" max="11530" width="11.7109375" style="706" customWidth="1"/>
    <col min="11531" max="11531" width="10.42578125" style="706" customWidth="1"/>
    <col min="11532" max="11532" width="42.5703125" style="706" customWidth="1"/>
    <col min="11533" max="11533" width="16.42578125" style="706" customWidth="1"/>
    <col min="11534" max="11534" width="12.7109375" style="706" customWidth="1"/>
    <col min="11535" max="11535" width="30.85546875" style="706" customWidth="1"/>
    <col min="11536" max="11536" width="18.85546875" style="706" customWidth="1"/>
    <col min="11537" max="11776" width="9.140625" style="706"/>
    <col min="11777" max="11777" width="4.140625" style="706" customWidth="1"/>
    <col min="11778" max="11778" width="22.28515625" style="706" customWidth="1"/>
    <col min="11779" max="11779" width="14.42578125" style="706" customWidth="1"/>
    <col min="11780" max="11780" width="23.5703125" style="706" customWidth="1"/>
    <col min="11781" max="11781" width="31.85546875" style="706" customWidth="1"/>
    <col min="11782" max="11782" width="14.7109375" style="706" customWidth="1"/>
    <col min="11783" max="11783" width="14.28515625" style="706" customWidth="1"/>
    <col min="11784" max="11784" width="24.7109375" style="706" customWidth="1"/>
    <col min="11785" max="11785" width="10.42578125" style="706" customWidth="1"/>
    <col min="11786" max="11786" width="11.7109375" style="706" customWidth="1"/>
    <col min="11787" max="11787" width="10.42578125" style="706" customWidth="1"/>
    <col min="11788" max="11788" width="42.5703125" style="706" customWidth="1"/>
    <col min="11789" max="11789" width="16.42578125" style="706" customWidth="1"/>
    <col min="11790" max="11790" width="12.7109375" style="706" customWidth="1"/>
    <col min="11791" max="11791" width="30.85546875" style="706" customWidth="1"/>
    <col min="11792" max="11792" width="18.85546875" style="706" customWidth="1"/>
    <col min="11793" max="12032" width="9.140625" style="706"/>
    <col min="12033" max="12033" width="4.140625" style="706" customWidth="1"/>
    <col min="12034" max="12034" width="22.28515625" style="706" customWidth="1"/>
    <col min="12035" max="12035" width="14.42578125" style="706" customWidth="1"/>
    <col min="12036" max="12036" width="23.5703125" style="706" customWidth="1"/>
    <col min="12037" max="12037" width="31.85546875" style="706" customWidth="1"/>
    <col min="12038" max="12038" width="14.7109375" style="706" customWidth="1"/>
    <col min="12039" max="12039" width="14.28515625" style="706" customWidth="1"/>
    <col min="12040" max="12040" width="24.7109375" style="706" customWidth="1"/>
    <col min="12041" max="12041" width="10.42578125" style="706" customWidth="1"/>
    <col min="12042" max="12042" width="11.7109375" style="706" customWidth="1"/>
    <col min="12043" max="12043" width="10.42578125" style="706" customWidth="1"/>
    <col min="12044" max="12044" width="42.5703125" style="706" customWidth="1"/>
    <col min="12045" max="12045" width="16.42578125" style="706" customWidth="1"/>
    <col min="12046" max="12046" width="12.7109375" style="706" customWidth="1"/>
    <col min="12047" max="12047" width="30.85546875" style="706" customWidth="1"/>
    <col min="12048" max="12048" width="18.85546875" style="706" customWidth="1"/>
    <col min="12049" max="12288" width="9.140625" style="706"/>
    <col min="12289" max="12289" width="4.140625" style="706" customWidth="1"/>
    <col min="12290" max="12290" width="22.28515625" style="706" customWidth="1"/>
    <col min="12291" max="12291" width="14.42578125" style="706" customWidth="1"/>
    <col min="12292" max="12292" width="23.5703125" style="706" customWidth="1"/>
    <col min="12293" max="12293" width="31.85546875" style="706" customWidth="1"/>
    <col min="12294" max="12294" width="14.7109375" style="706" customWidth="1"/>
    <col min="12295" max="12295" width="14.28515625" style="706" customWidth="1"/>
    <col min="12296" max="12296" width="24.7109375" style="706" customWidth="1"/>
    <col min="12297" max="12297" width="10.42578125" style="706" customWidth="1"/>
    <col min="12298" max="12298" width="11.7109375" style="706" customWidth="1"/>
    <col min="12299" max="12299" width="10.42578125" style="706" customWidth="1"/>
    <col min="12300" max="12300" width="42.5703125" style="706" customWidth="1"/>
    <col min="12301" max="12301" width="16.42578125" style="706" customWidth="1"/>
    <col min="12302" max="12302" width="12.7109375" style="706" customWidth="1"/>
    <col min="12303" max="12303" width="30.85546875" style="706" customWidth="1"/>
    <col min="12304" max="12304" width="18.85546875" style="706" customWidth="1"/>
    <col min="12305" max="12544" width="9.140625" style="706"/>
    <col min="12545" max="12545" width="4.140625" style="706" customWidth="1"/>
    <col min="12546" max="12546" width="22.28515625" style="706" customWidth="1"/>
    <col min="12547" max="12547" width="14.42578125" style="706" customWidth="1"/>
    <col min="12548" max="12548" width="23.5703125" style="706" customWidth="1"/>
    <col min="12549" max="12549" width="31.85546875" style="706" customWidth="1"/>
    <col min="12550" max="12550" width="14.7109375" style="706" customWidth="1"/>
    <col min="12551" max="12551" width="14.28515625" style="706" customWidth="1"/>
    <col min="12552" max="12552" width="24.7109375" style="706" customWidth="1"/>
    <col min="12553" max="12553" width="10.42578125" style="706" customWidth="1"/>
    <col min="12554" max="12554" width="11.7109375" style="706" customWidth="1"/>
    <col min="12555" max="12555" width="10.42578125" style="706" customWidth="1"/>
    <col min="12556" max="12556" width="42.5703125" style="706" customWidth="1"/>
    <col min="12557" max="12557" width="16.42578125" style="706" customWidth="1"/>
    <col min="12558" max="12558" width="12.7109375" style="706" customWidth="1"/>
    <col min="12559" max="12559" width="30.85546875" style="706" customWidth="1"/>
    <col min="12560" max="12560" width="18.85546875" style="706" customWidth="1"/>
    <col min="12561" max="12800" width="9.140625" style="706"/>
    <col min="12801" max="12801" width="4.140625" style="706" customWidth="1"/>
    <col min="12802" max="12802" width="22.28515625" style="706" customWidth="1"/>
    <col min="12803" max="12803" width="14.42578125" style="706" customWidth="1"/>
    <col min="12804" max="12804" width="23.5703125" style="706" customWidth="1"/>
    <col min="12805" max="12805" width="31.85546875" style="706" customWidth="1"/>
    <col min="12806" max="12806" width="14.7109375" style="706" customWidth="1"/>
    <col min="12807" max="12807" width="14.28515625" style="706" customWidth="1"/>
    <col min="12808" max="12808" width="24.7109375" style="706" customWidth="1"/>
    <col min="12809" max="12809" width="10.42578125" style="706" customWidth="1"/>
    <col min="12810" max="12810" width="11.7109375" style="706" customWidth="1"/>
    <col min="12811" max="12811" width="10.42578125" style="706" customWidth="1"/>
    <col min="12812" max="12812" width="42.5703125" style="706" customWidth="1"/>
    <col min="12813" max="12813" width="16.42578125" style="706" customWidth="1"/>
    <col min="12814" max="12814" width="12.7109375" style="706" customWidth="1"/>
    <col min="12815" max="12815" width="30.85546875" style="706" customWidth="1"/>
    <col min="12816" max="12816" width="18.85546875" style="706" customWidth="1"/>
    <col min="12817" max="13056" width="9.140625" style="706"/>
    <col min="13057" max="13057" width="4.140625" style="706" customWidth="1"/>
    <col min="13058" max="13058" width="22.28515625" style="706" customWidth="1"/>
    <col min="13059" max="13059" width="14.42578125" style="706" customWidth="1"/>
    <col min="13060" max="13060" width="23.5703125" style="706" customWidth="1"/>
    <col min="13061" max="13061" width="31.85546875" style="706" customWidth="1"/>
    <col min="13062" max="13062" width="14.7109375" style="706" customWidth="1"/>
    <col min="13063" max="13063" width="14.28515625" style="706" customWidth="1"/>
    <col min="13064" max="13064" width="24.7109375" style="706" customWidth="1"/>
    <col min="13065" max="13065" width="10.42578125" style="706" customWidth="1"/>
    <col min="13066" max="13066" width="11.7109375" style="706" customWidth="1"/>
    <col min="13067" max="13067" width="10.42578125" style="706" customWidth="1"/>
    <col min="13068" max="13068" width="42.5703125" style="706" customWidth="1"/>
    <col min="13069" max="13069" width="16.42578125" style="706" customWidth="1"/>
    <col min="13070" max="13070" width="12.7109375" style="706" customWidth="1"/>
    <col min="13071" max="13071" width="30.85546875" style="706" customWidth="1"/>
    <col min="13072" max="13072" width="18.85546875" style="706" customWidth="1"/>
    <col min="13073" max="13312" width="9.140625" style="706"/>
    <col min="13313" max="13313" width="4.140625" style="706" customWidth="1"/>
    <col min="13314" max="13314" width="22.28515625" style="706" customWidth="1"/>
    <col min="13315" max="13315" width="14.42578125" style="706" customWidth="1"/>
    <col min="13316" max="13316" width="23.5703125" style="706" customWidth="1"/>
    <col min="13317" max="13317" width="31.85546875" style="706" customWidth="1"/>
    <col min="13318" max="13318" width="14.7109375" style="706" customWidth="1"/>
    <col min="13319" max="13319" width="14.28515625" style="706" customWidth="1"/>
    <col min="13320" max="13320" width="24.7109375" style="706" customWidth="1"/>
    <col min="13321" max="13321" width="10.42578125" style="706" customWidth="1"/>
    <col min="13322" max="13322" width="11.7109375" style="706" customWidth="1"/>
    <col min="13323" max="13323" width="10.42578125" style="706" customWidth="1"/>
    <col min="13324" max="13324" width="42.5703125" style="706" customWidth="1"/>
    <col min="13325" max="13325" width="16.42578125" style="706" customWidth="1"/>
    <col min="13326" max="13326" width="12.7109375" style="706" customWidth="1"/>
    <col min="13327" max="13327" width="30.85546875" style="706" customWidth="1"/>
    <col min="13328" max="13328" width="18.85546875" style="706" customWidth="1"/>
    <col min="13329" max="13568" width="9.140625" style="706"/>
    <col min="13569" max="13569" width="4.140625" style="706" customWidth="1"/>
    <col min="13570" max="13570" width="22.28515625" style="706" customWidth="1"/>
    <col min="13571" max="13571" width="14.42578125" style="706" customWidth="1"/>
    <col min="13572" max="13572" width="23.5703125" style="706" customWidth="1"/>
    <col min="13573" max="13573" width="31.85546875" style="706" customWidth="1"/>
    <col min="13574" max="13574" width="14.7109375" style="706" customWidth="1"/>
    <col min="13575" max="13575" width="14.28515625" style="706" customWidth="1"/>
    <col min="13576" max="13576" width="24.7109375" style="706" customWidth="1"/>
    <col min="13577" max="13577" width="10.42578125" style="706" customWidth="1"/>
    <col min="13578" max="13578" width="11.7109375" style="706" customWidth="1"/>
    <col min="13579" max="13579" width="10.42578125" style="706" customWidth="1"/>
    <col min="13580" max="13580" width="42.5703125" style="706" customWidth="1"/>
    <col min="13581" max="13581" width="16.42578125" style="706" customWidth="1"/>
    <col min="13582" max="13582" width="12.7109375" style="706" customWidth="1"/>
    <col min="13583" max="13583" width="30.85546875" style="706" customWidth="1"/>
    <col min="13584" max="13584" width="18.85546875" style="706" customWidth="1"/>
    <col min="13585" max="13824" width="9.140625" style="706"/>
    <col min="13825" max="13825" width="4.140625" style="706" customWidth="1"/>
    <col min="13826" max="13826" width="22.28515625" style="706" customWidth="1"/>
    <col min="13827" max="13827" width="14.42578125" style="706" customWidth="1"/>
    <col min="13828" max="13828" width="23.5703125" style="706" customWidth="1"/>
    <col min="13829" max="13829" width="31.85546875" style="706" customWidth="1"/>
    <col min="13830" max="13830" width="14.7109375" style="706" customWidth="1"/>
    <col min="13831" max="13831" width="14.28515625" style="706" customWidth="1"/>
    <col min="13832" max="13832" width="24.7109375" style="706" customWidth="1"/>
    <col min="13833" max="13833" width="10.42578125" style="706" customWidth="1"/>
    <col min="13834" max="13834" width="11.7109375" style="706" customWidth="1"/>
    <col min="13835" max="13835" width="10.42578125" style="706" customWidth="1"/>
    <col min="13836" max="13836" width="42.5703125" style="706" customWidth="1"/>
    <col min="13837" max="13837" width="16.42578125" style="706" customWidth="1"/>
    <col min="13838" max="13838" width="12.7109375" style="706" customWidth="1"/>
    <col min="13839" max="13839" width="30.85546875" style="706" customWidth="1"/>
    <col min="13840" max="13840" width="18.85546875" style="706" customWidth="1"/>
    <col min="13841" max="14080" width="9.140625" style="706"/>
    <col min="14081" max="14081" width="4.140625" style="706" customWidth="1"/>
    <col min="14082" max="14082" width="22.28515625" style="706" customWidth="1"/>
    <col min="14083" max="14083" width="14.42578125" style="706" customWidth="1"/>
    <col min="14084" max="14084" width="23.5703125" style="706" customWidth="1"/>
    <col min="14085" max="14085" width="31.85546875" style="706" customWidth="1"/>
    <col min="14086" max="14086" width="14.7109375" style="706" customWidth="1"/>
    <col min="14087" max="14087" width="14.28515625" style="706" customWidth="1"/>
    <col min="14088" max="14088" width="24.7109375" style="706" customWidth="1"/>
    <col min="14089" max="14089" width="10.42578125" style="706" customWidth="1"/>
    <col min="14090" max="14090" width="11.7109375" style="706" customWidth="1"/>
    <col min="14091" max="14091" width="10.42578125" style="706" customWidth="1"/>
    <col min="14092" max="14092" width="42.5703125" style="706" customWidth="1"/>
    <col min="14093" max="14093" width="16.42578125" style="706" customWidth="1"/>
    <col min="14094" max="14094" width="12.7109375" style="706" customWidth="1"/>
    <col min="14095" max="14095" width="30.85546875" style="706" customWidth="1"/>
    <col min="14096" max="14096" width="18.85546875" style="706" customWidth="1"/>
    <col min="14097" max="14336" width="9.140625" style="706"/>
    <col min="14337" max="14337" width="4.140625" style="706" customWidth="1"/>
    <col min="14338" max="14338" width="22.28515625" style="706" customWidth="1"/>
    <col min="14339" max="14339" width="14.42578125" style="706" customWidth="1"/>
    <col min="14340" max="14340" width="23.5703125" style="706" customWidth="1"/>
    <col min="14341" max="14341" width="31.85546875" style="706" customWidth="1"/>
    <col min="14342" max="14342" width="14.7109375" style="706" customWidth="1"/>
    <col min="14343" max="14343" width="14.28515625" style="706" customWidth="1"/>
    <col min="14344" max="14344" width="24.7109375" style="706" customWidth="1"/>
    <col min="14345" max="14345" width="10.42578125" style="706" customWidth="1"/>
    <col min="14346" max="14346" width="11.7109375" style="706" customWidth="1"/>
    <col min="14347" max="14347" width="10.42578125" style="706" customWidth="1"/>
    <col min="14348" max="14348" width="42.5703125" style="706" customWidth="1"/>
    <col min="14349" max="14349" width="16.42578125" style="706" customWidth="1"/>
    <col min="14350" max="14350" width="12.7109375" style="706" customWidth="1"/>
    <col min="14351" max="14351" width="30.85546875" style="706" customWidth="1"/>
    <col min="14352" max="14352" width="18.85546875" style="706" customWidth="1"/>
    <col min="14353" max="14592" width="9.140625" style="706"/>
    <col min="14593" max="14593" width="4.140625" style="706" customWidth="1"/>
    <col min="14594" max="14594" width="22.28515625" style="706" customWidth="1"/>
    <col min="14595" max="14595" width="14.42578125" style="706" customWidth="1"/>
    <col min="14596" max="14596" width="23.5703125" style="706" customWidth="1"/>
    <col min="14597" max="14597" width="31.85546875" style="706" customWidth="1"/>
    <col min="14598" max="14598" width="14.7109375" style="706" customWidth="1"/>
    <col min="14599" max="14599" width="14.28515625" style="706" customWidth="1"/>
    <col min="14600" max="14600" width="24.7109375" style="706" customWidth="1"/>
    <col min="14601" max="14601" width="10.42578125" style="706" customWidth="1"/>
    <col min="14602" max="14602" width="11.7109375" style="706" customWidth="1"/>
    <col min="14603" max="14603" width="10.42578125" style="706" customWidth="1"/>
    <col min="14604" max="14604" width="42.5703125" style="706" customWidth="1"/>
    <col min="14605" max="14605" width="16.42578125" style="706" customWidth="1"/>
    <col min="14606" max="14606" width="12.7109375" style="706" customWidth="1"/>
    <col min="14607" max="14607" width="30.85546875" style="706" customWidth="1"/>
    <col min="14608" max="14608" width="18.85546875" style="706" customWidth="1"/>
    <col min="14609" max="14848" width="9.140625" style="706"/>
    <col min="14849" max="14849" width="4.140625" style="706" customWidth="1"/>
    <col min="14850" max="14850" width="22.28515625" style="706" customWidth="1"/>
    <col min="14851" max="14851" width="14.42578125" style="706" customWidth="1"/>
    <col min="14852" max="14852" width="23.5703125" style="706" customWidth="1"/>
    <col min="14853" max="14853" width="31.85546875" style="706" customWidth="1"/>
    <col min="14854" max="14854" width="14.7109375" style="706" customWidth="1"/>
    <col min="14855" max="14855" width="14.28515625" style="706" customWidth="1"/>
    <col min="14856" max="14856" width="24.7109375" style="706" customWidth="1"/>
    <col min="14857" max="14857" width="10.42578125" style="706" customWidth="1"/>
    <col min="14858" max="14858" width="11.7109375" style="706" customWidth="1"/>
    <col min="14859" max="14859" width="10.42578125" style="706" customWidth="1"/>
    <col min="14860" max="14860" width="42.5703125" style="706" customWidth="1"/>
    <col min="14861" max="14861" width="16.42578125" style="706" customWidth="1"/>
    <col min="14862" max="14862" width="12.7109375" style="706" customWidth="1"/>
    <col min="14863" max="14863" width="30.85546875" style="706" customWidth="1"/>
    <col min="14864" max="14864" width="18.85546875" style="706" customWidth="1"/>
    <col min="14865" max="15104" width="9.140625" style="706"/>
    <col min="15105" max="15105" width="4.140625" style="706" customWidth="1"/>
    <col min="15106" max="15106" width="22.28515625" style="706" customWidth="1"/>
    <col min="15107" max="15107" width="14.42578125" style="706" customWidth="1"/>
    <col min="15108" max="15108" width="23.5703125" style="706" customWidth="1"/>
    <col min="15109" max="15109" width="31.85546875" style="706" customWidth="1"/>
    <col min="15110" max="15110" width="14.7109375" style="706" customWidth="1"/>
    <col min="15111" max="15111" width="14.28515625" style="706" customWidth="1"/>
    <col min="15112" max="15112" width="24.7109375" style="706" customWidth="1"/>
    <col min="15113" max="15113" width="10.42578125" style="706" customWidth="1"/>
    <col min="15114" max="15114" width="11.7109375" style="706" customWidth="1"/>
    <col min="15115" max="15115" width="10.42578125" style="706" customWidth="1"/>
    <col min="15116" max="15116" width="42.5703125" style="706" customWidth="1"/>
    <col min="15117" max="15117" width="16.42578125" style="706" customWidth="1"/>
    <col min="15118" max="15118" width="12.7109375" style="706" customWidth="1"/>
    <col min="15119" max="15119" width="30.85546875" style="706" customWidth="1"/>
    <col min="15120" max="15120" width="18.85546875" style="706" customWidth="1"/>
    <col min="15121" max="15360" width="9.140625" style="706"/>
    <col min="15361" max="15361" width="4.140625" style="706" customWidth="1"/>
    <col min="15362" max="15362" width="22.28515625" style="706" customWidth="1"/>
    <col min="15363" max="15363" width="14.42578125" style="706" customWidth="1"/>
    <col min="15364" max="15364" width="23.5703125" style="706" customWidth="1"/>
    <col min="15365" max="15365" width="31.85546875" style="706" customWidth="1"/>
    <col min="15366" max="15366" width="14.7109375" style="706" customWidth="1"/>
    <col min="15367" max="15367" width="14.28515625" style="706" customWidth="1"/>
    <col min="15368" max="15368" width="24.7109375" style="706" customWidth="1"/>
    <col min="15369" max="15369" width="10.42578125" style="706" customWidth="1"/>
    <col min="15370" max="15370" width="11.7109375" style="706" customWidth="1"/>
    <col min="15371" max="15371" width="10.42578125" style="706" customWidth="1"/>
    <col min="15372" max="15372" width="42.5703125" style="706" customWidth="1"/>
    <col min="15373" max="15373" width="16.42578125" style="706" customWidth="1"/>
    <col min="15374" max="15374" width="12.7109375" style="706" customWidth="1"/>
    <col min="15375" max="15375" width="30.85546875" style="706" customWidth="1"/>
    <col min="15376" max="15376" width="18.85546875" style="706" customWidth="1"/>
    <col min="15377" max="15616" width="9.140625" style="706"/>
    <col min="15617" max="15617" width="4.140625" style="706" customWidth="1"/>
    <col min="15618" max="15618" width="22.28515625" style="706" customWidth="1"/>
    <col min="15619" max="15619" width="14.42578125" style="706" customWidth="1"/>
    <col min="15620" max="15620" width="23.5703125" style="706" customWidth="1"/>
    <col min="15621" max="15621" width="31.85546875" style="706" customWidth="1"/>
    <col min="15622" max="15622" width="14.7109375" style="706" customWidth="1"/>
    <col min="15623" max="15623" width="14.28515625" style="706" customWidth="1"/>
    <col min="15624" max="15624" width="24.7109375" style="706" customWidth="1"/>
    <col min="15625" max="15625" width="10.42578125" style="706" customWidth="1"/>
    <col min="15626" max="15626" width="11.7109375" style="706" customWidth="1"/>
    <col min="15627" max="15627" width="10.42578125" style="706" customWidth="1"/>
    <col min="15628" max="15628" width="42.5703125" style="706" customWidth="1"/>
    <col min="15629" max="15629" width="16.42578125" style="706" customWidth="1"/>
    <col min="15630" max="15630" width="12.7109375" style="706" customWidth="1"/>
    <col min="15631" max="15631" width="30.85546875" style="706" customWidth="1"/>
    <col min="15632" max="15632" width="18.85546875" style="706" customWidth="1"/>
    <col min="15633" max="15872" width="9.140625" style="706"/>
    <col min="15873" max="15873" width="4.140625" style="706" customWidth="1"/>
    <col min="15874" max="15874" width="22.28515625" style="706" customWidth="1"/>
    <col min="15875" max="15875" width="14.42578125" style="706" customWidth="1"/>
    <col min="15876" max="15876" width="23.5703125" style="706" customWidth="1"/>
    <col min="15877" max="15877" width="31.85546875" style="706" customWidth="1"/>
    <col min="15878" max="15878" width="14.7109375" style="706" customWidth="1"/>
    <col min="15879" max="15879" width="14.28515625" style="706" customWidth="1"/>
    <col min="15880" max="15880" width="24.7109375" style="706" customWidth="1"/>
    <col min="15881" max="15881" width="10.42578125" style="706" customWidth="1"/>
    <col min="15882" max="15882" width="11.7109375" style="706" customWidth="1"/>
    <col min="15883" max="15883" width="10.42578125" style="706" customWidth="1"/>
    <col min="15884" max="15884" width="42.5703125" style="706" customWidth="1"/>
    <col min="15885" max="15885" width="16.42578125" style="706" customWidth="1"/>
    <col min="15886" max="15886" width="12.7109375" style="706" customWidth="1"/>
    <col min="15887" max="15887" width="30.85546875" style="706" customWidth="1"/>
    <col min="15888" max="15888" width="18.85546875" style="706" customWidth="1"/>
    <col min="15889" max="16128" width="9.140625" style="706"/>
    <col min="16129" max="16129" width="4.140625" style="706" customWidth="1"/>
    <col min="16130" max="16130" width="22.28515625" style="706" customWidth="1"/>
    <col min="16131" max="16131" width="14.42578125" style="706" customWidth="1"/>
    <col min="16132" max="16132" width="23.5703125" style="706" customWidth="1"/>
    <col min="16133" max="16133" width="31.85546875" style="706" customWidth="1"/>
    <col min="16134" max="16134" width="14.7109375" style="706" customWidth="1"/>
    <col min="16135" max="16135" width="14.28515625" style="706" customWidth="1"/>
    <col min="16136" max="16136" width="24.7109375" style="706" customWidth="1"/>
    <col min="16137" max="16137" width="10.42578125" style="706" customWidth="1"/>
    <col min="16138" max="16138" width="11.7109375" style="706" customWidth="1"/>
    <col min="16139" max="16139" width="10.42578125" style="706" customWidth="1"/>
    <col min="16140" max="16140" width="42.5703125" style="706" customWidth="1"/>
    <col min="16141" max="16141" width="16.42578125" style="706" customWidth="1"/>
    <col min="16142" max="16142" width="12.7109375" style="706" customWidth="1"/>
    <col min="16143" max="16143" width="30.85546875" style="706" customWidth="1"/>
    <col min="16144" max="16144" width="18.85546875" style="706" customWidth="1"/>
    <col min="16145" max="16384" width="9.140625" style="706"/>
  </cols>
  <sheetData>
    <row r="1" spans="1:32" ht="15.75" customHeight="1" x14ac:dyDescent="0.25">
      <c r="E1" s="708"/>
      <c r="F1" s="708"/>
      <c r="G1" s="708"/>
    </row>
    <row r="2" spans="1:32" ht="15.75" customHeight="1" x14ac:dyDescent="0.25">
      <c r="B2" s="710"/>
      <c r="C2" s="710"/>
      <c r="D2" s="710"/>
      <c r="E2" s="711"/>
      <c r="F2" s="712"/>
      <c r="G2" s="713"/>
      <c r="H2" s="714"/>
    </row>
    <row r="3" spans="1:32" ht="21.75" customHeight="1" x14ac:dyDescent="0.25">
      <c r="E3" s="711"/>
      <c r="F3" s="712"/>
      <c r="G3" s="713"/>
    </row>
    <row r="4" spans="1:32" ht="16.5" customHeight="1" x14ac:dyDescent="0.25">
      <c r="A4" s="2099" t="s">
        <v>554</v>
      </c>
      <c r="B4" s="2099"/>
      <c r="C4" s="2099"/>
      <c r="D4" s="2099"/>
      <c r="E4" s="2099"/>
      <c r="F4" s="2099"/>
      <c r="G4" s="2099"/>
    </row>
    <row r="5" spans="1:32" ht="48" customHeight="1" x14ac:dyDescent="0.25">
      <c r="A5" s="2100" t="str">
        <f>' ССР (нов)'!A6:G6</f>
        <v xml:space="preserve">Реконструкция теплового ввода </v>
      </c>
      <c r="B5" s="2101"/>
      <c r="C5" s="2102"/>
      <c r="D5" s="2102"/>
      <c r="E5" s="2102"/>
      <c r="F5" s="2102"/>
      <c r="G5" s="2102"/>
      <c r="Z5" s="2103"/>
      <c r="AA5" s="2104"/>
      <c r="AB5" s="2103"/>
      <c r="AC5" s="2103"/>
      <c r="AD5" s="2103"/>
      <c r="AE5" s="2103"/>
      <c r="AF5" s="2103"/>
    </row>
    <row r="6" spans="1:32" ht="23.25" customHeight="1" x14ac:dyDescent="0.25">
      <c r="A6" s="2105" t="str">
        <f>' ССР (нов)'!A7:G7</f>
        <v>г. Москва , ул. Мневники д.4</v>
      </c>
      <c r="B6" s="2099"/>
      <c r="C6" s="2099"/>
      <c r="D6" s="2099"/>
      <c r="E6" s="2099"/>
      <c r="F6" s="2099"/>
      <c r="G6" s="2099"/>
      <c r="H6" s="715"/>
    </row>
    <row r="7" spans="1:32" ht="63.75" customHeight="1" thickBot="1" x14ac:dyDescent="0.3">
      <c r="A7" s="2106" t="s">
        <v>637</v>
      </c>
      <c r="B7" s="2107"/>
      <c r="C7" s="2108"/>
      <c r="D7" s="2108"/>
      <c r="E7" s="2108"/>
      <c r="F7" s="2108"/>
      <c r="G7" s="2108"/>
      <c r="H7" s="1416" t="s">
        <v>636</v>
      </c>
      <c r="I7" s="1417"/>
      <c r="J7" s="1418"/>
      <c r="K7" s="1418"/>
      <c r="L7" s="1418"/>
      <c r="M7" s="1418"/>
      <c r="N7" s="1418"/>
    </row>
    <row r="8" spans="1:32" s="717" customFormat="1" ht="92.25" customHeight="1" thickBot="1" x14ac:dyDescent="0.3">
      <c r="A8" s="716"/>
      <c r="B8" s="2096" t="s">
        <v>308</v>
      </c>
      <c r="C8" s="2097"/>
      <c r="D8" s="2097"/>
      <c r="E8" s="2097"/>
      <c r="F8" s="2097"/>
      <c r="G8" s="2098"/>
      <c r="H8" s="709"/>
      <c r="I8" s="709"/>
      <c r="J8" s="709"/>
      <c r="Q8" s="709"/>
      <c r="R8" s="709"/>
    </row>
    <row r="9" spans="1:32" s="717" customFormat="1" ht="16.5" customHeight="1" thickBot="1" x14ac:dyDescent="0.3">
      <c r="A9" s="718"/>
      <c r="B9" s="2093" t="s">
        <v>309</v>
      </c>
      <c r="C9" s="2094"/>
      <c r="D9" s="719"/>
      <c r="E9" s="2093" t="s">
        <v>310</v>
      </c>
      <c r="F9" s="2095"/>
      <c r="G9" s="720" t="s">
        <v>311</v>
      </c>
      <c r="H9" s="706"/>
      <c r="I9" s="706"/>
      <c r="J9" s="706"/>
      <c r="Q9" s="706"/>
      <c r="R9" s="706"/>
    </row>
    <row r="10" spans="1:32" s="726" customFormat="1" ht="22.5" customHeight="1" thickBot="1" x14ac:dyDescent="0.3">
      <c r="A10" s="721"/>
      <c r="B10" s="722" t="s">
        <v>312</v>
      </c>
      <c r="C10" s="723"/>
      <c r="D10" s="722" t="s">
        <v>313</v>
      </c>
      <c r="E10" s="723"/>
      <c r="F10" s="723"/>
      <c r="G10" s="724"/>
      <c r="H10" s="725"/>
      <c r="I10" s="725"/>
      <c r="J10" s="725"/>
      <c r="Q10" s="725"/>
      <c r="R10" s="725"/>
    </row>
    <row r="11" spans="1:32" s="709" customFormat="1" ht="16.5" thickBot="1" x14ac:dyDescent="0.3">
      <c r="A11" s="727"/>
      <c r="B11" s="728" t="s">
        <v>314</v>
      </c>
      <c r="C11" s="729"/>
      <c r="D11" s="729"/>
      <c r="E11" s="729"/>
      <c r="F11" s="729"/>
      <c r="G11" s="730"/>
      <c r="K11" s="706"/>
      <c r="L11" s="706"/>
      <c r="M11" s="706"/>
      <c r="N11" s="706"/>
      <c r="O11" s="706"/>
      <c r="P11" s="706"/>
      <c r="S11" s="706"/>
      <c r="T11" s="706"/>
      <c r="U11" s="706"/>
      <c r="V11" s="706"/>
      <c r="W11" s="706"/>
      <c r="X11" s="706"/>
      <c r="Y11" s="706"/>
      <c r="Z11" s="706"/>
      <c r="AA11" s="706"/>
      <c r="AB11" s="706"/>
      <c r="AC11" s="706"/>
      <c r="AD11" s="706"/>
      <c r="AE11" s="706"/>
      <c r="AF11" s="706"/>
    </row>
    <row r="12" spans="1:32" s="717" customFormat="1" ht="16.5" customHeight="1" x14ac:dyDescent="0.25">
      <c r="A12" s="2067">
        <v>1</v>
      </c>
      <c r="B12" s="731" t="s">
        <v>315</v>
      </c>
      <c r="C12" s="732"/>
      <c r="D12" s="732"/>
      <c r="E12" s="732"/>
      <c r="F12" s="733"/>
      <c r="G12" s="734">
        <v>5</v>
      </c>
      <c r="H12" s="735"/>
      <c r="I12" s="735"/>
      <c r="J12" s="736"/>
    </row>
    <row r="13" spans="1:32" s="717" customFormat="1" ht="16.5" customHeight="1" x14ac:dyDescent="0.25">
      <c r="A13" s="2058"/>
      <c r="B13" s="737" t="s">
        <v>316</v>
      </c>
      <c r="C13" s="738"/>
      <c r="D13" s="738"/>
      <c r="E13" s="738"/>
      <c r="F13" s="739"/>
      <c r="G13" s="740">
        <v>122</v>
      </c>
      <c r="H13" s="741"/>
      <c r="I13" s="741"/>
      <c r="J13" s="736"/>
    </row>
    <row r="14" spans="1:32" s="717" customFormat="1" ht="16.5" customHeight="1" x14ac:dyDescent="0.25">
      <c r="A14" s="2058"/>
      <c r="B14" s="742" t="s">
        <v>317</v>
      </c>
      <c r="C14" s="743"/>
      <c r="D14" s="743"/>
      <c r="E14" s="743"/>
      <c r="F14" s="744"/>
      <c r="G14" s="740">
        <f>G13</f>
        <v>122</v>
      </c>
      <c r="H14" s="741"/>
      <c r="I14" s="741"/>
      <c r="J14" s="736"/>
    </row>
    <row r="15" spans="1:32" s="717" customFormat="1" ht="16.5" customHeight="1" x14ac:dyDescent="0.25">
      <c r="A15" s="2058"/>
      <c r="B15" s="745" t="s">
        <v>318</v>
      </c>
      <c r="C15" s="746"/>
      <c r="D15" s="746"/>
      <c r="E15" s="747" t="s">
        <v>319</v>
      </c>
      <c r="F15" s="748"/>
      <c r="G15" s="749">
        <v>2</v>
      </c>
      <c r="H15" s="736"/>
      <c r="I15" s="736"/>
      <c r="J15" s="736"/>
    </row>
    <row r="16" spans="1:32" s="717" customFormat="1" ht="16.5" customHeight="1" x14ac:dyDescent="0.25">
      <c r="A16" s="2058"/>
      <c r="B16" s="750" t="s">
        <v>320</v>
      </c>
      <c r="C16" s="736"/>
      <c r="D16" s="736"/>
      <c r="E16" s="736"/>
      <c r="F16" s="751"/>
      <c r="G16" s="752"/>
      <c r="H16" s="753"/>
      <c r="I16" s="753"/>
      <c r="J16" s="753"/>
    </row>
    <row r="17" spans="1:11" s="717" customFormat="1" ht="18.75" customHeight="1" x14ac:dyDescent="0.25">
      <c r="A17" s="2058"/>
      <c r="B17" s="754" t="s">
        <v>321</v>
      </c>
      <c r="C17" s="755"/>
      <c r="D17" s="755"/>
      <c r="E17" s="754" t="s">
        <v>310</v>
      </c>
      <c r="F17" s="756"/>
      <c r="G17" s="749"/>
      <c r="H17" s="736"/>
      <c r="I17" s="736"/>
      <c r="J17" s="736"/>
    </row>
    <row r="18" spans="1:11" s="762" customFormat="1" ht="18.75" hidden="1" customHeight="1" x14ac:dyDescent="0.2">
      <c r="A18" s="2058"/>
      <c r="B18" s="757" t="s">
        <v>322</v>
      </c>
      <c r="C18" s="758"/>
      <c r="D18" s="758"/>
      <c r="E18" s="757" t="s">
        <v>323</v>
      </c>
      <c r="F18" s="759"/>
      <c r="G18" s="760">
        <v>1</v>
      </c>
      <c r="H18" s="761"/>
      <c r="I18" s="761"/>
      <c r="J18" s="761"/>
    </row>
    <row r="19" spans="1:11" s="762" customFormat="1" ht="24.75" hidden="1" customHeight="1" x14ac:dyDescent="0.2">
      <c r="A19" s="2058"/>
      <c r="B19" s="757" t="s">
        <v>324</v>
      </c>
      <c r="C19" s="758"/>
      <c r="D19" s="758"/>
      <c r="E19" s="757" t="s">
        <v>325</v>
      </c>
      <c r="F19" s="759"/>
      <c r="G19" s="760">
        <v>1</v>
      </c>
      <c r="H19" s="763"/>
      <c r="I19" s="763"/>
      <c r="J19" s="763"/>
    </row>
    <row r="20" spans="1:11" s="768" customFormat="1" ht="18.75" customHeight="1" x14ac:dyDescent="0.25">
      <c r="A20" s="2058"/>
      <c r="B20" s="2082" t="s">
        <v>326</v>
      </c>
      <c r="C20" s="2083"/>
      <c r="D20" s="2084"/>
      <c r="E20" s="764" t="s">
        <v>327</v>
      </c>
      <c r="F20" s="765"/>
      <c r="G20" s="766">
        <v>1.1000000000000001</v>
      </c>
      <c r="H20" s="767"/>
      <c r="I20" s="767"/>
      <c r="J20" s="767"/>
    </row>
    <row r="21" spans="1:11" s="717" customFormat="1" ht="17.25" customHeight="1" x14ac:dyDescent="0.25">
      <c r="A21" s="2058"/>
      <c r="B21" s="747" t="s">
        <v>328</v>
      </c>
      <c r="C21" s="769"/>
      <c r="D21" s="769"/>
      <c r="E21" s="747" t="s">
        <v>329</v>
      </c>
      <c r="F21" s="770"/>
      <c r="G21" s="749">
        <v>2.5</v>
      </c>
      <c r="H21" s="771"/>
      <c r="I21" s="771"/>
      <c r="J21" s="771"/>
    </row>
    <row r="22" spans="1:11" s="717" customFormat="1" ht="15" hidden="1" customHeight="1" x14ac:dyDescent="0.25">
      <c r="A22" s="2058"/>
      <c r="B22" s="747" t="s">
        <v>330</v>
      </c>
      <c r="C22" s="769"/>
      <c r="D22" s="769"/>
      <c r="E22" s="747" t="s">
        <v>331</v>
      </c>
      <c r="F22" s="770"/>
      <c r="G22" s="749"/>
      <c r="H22" s="771"/>
      <c r="I22" s="771"/>
      <c r="J22" s="771"/>
    </row>
    <row r="23" spans="1:11" s="717" customFormat="1" x14ac:dyDescent="0.25">
      <c r="A23" s="2058"/>
      <c r="B23" s="772" t="s">
        <v>332</v>
      </c>
      <c r="C23" s="773"/>
      <c r="D23" s="773"/>
      <c r="E23" s="772" t="s">
        <v>333</v>
      </c>
      <c r="F23" s="774"/>
      <c r="G23" s="775">
        <f>ROUND(PRODUCT(G18:G21),2)</f>
        <v>2.75</v>
      </c>
      <c r="H23" s="776"/>
      <c r="I23" s="776"/>
      <c r="J23" s="776"/>
    </row>
    <row r="24" spans="1:11" s="717" customFormat="1" ht="16.5" customHeight="1" x14ac:dyDescent="0.25">
      <c r="A24" s="2058"/>
      <c r="B24" s="747" t="s">
        <v>334</v>
      </c>
      <c r="C24" s="769"/>
      <c r="D24" s="769"/>
      <c r="E24" s="747" t="s">
        <v>335</v>
      </c>
      <c r="F24" s="770"/>
      <c r="G24" s="749">
        <v>2</v>
      </c>
      <c r="H24" s="777"/>
      <c r="I24" s="777"/>
      <c r="J24" s="777"/>
    </row>
    <row r="25" spans="1:11" s="717" customFormat="1" ht="16.5" customHeight="1" x14ac:dyDescent="0.25">
      <c r="A25" s="2058"/>
      <c r="B25" s="778" t="s">
        <v>336</v>
      </c>
      <c r="C25" s="779"/>
      <c r="D25" s="779"/>
      <c r="E25" s="736"/>
      <c r="F25" s="751"/>
      <c r="G25" s="749"/>
      <c r="H25" s="736"/>
      <c r="I25" s="736"/>
      <c r="J25" s="736"/>
    </row>
    <row r="26" spans="1:11" s="717" customFormat="1" ht="15.75" customHeight="1" x14ac:dyDescent="0.25">
      <c r="A26" s="2058"/>
      <c r="B26" s="2085" t="s">
        <v>337</v>
      </c>
      <c r="C26" s="2086"/>
      <c r="D26" s="2087"/>
      <c r="E26" s="747" t="s">
        <v>338</v>
      </c>
      <c r="F26" s="770"/>
      <c r="G26" s="780">
        <v>6.0999999999999999E-2</v>
      </c>
      <c r="H26" s="736"/>
      <c r="I26" s="736"/>
      <c r="J26" s="736"/>
    </row>
    <row r="27" spans="1:11" s="717" customFormat="1" ht="16.5" customHeight="1" x14ac:dyDescent="0.25">
      <c r="A27" s="2058"/>
      <c r="B27" s="2085" t="s">
        <v>339</v>
      </c>
      <c r="C27" s="2086"/>
      <c r="D27" s="2087"/>
      <c r="E27" s="747" t="s">
        <v>340</v>
      </c>
      <c r="F27" s="770"/>
      <c r="G27" s="780">
        <f>0.189</f>
        <v>0.189</v>
      </c>
      <c r="H27" s="736"/>
      <c r="I27" s="736"/>
      <c r="J27" s="781"/>
    </row>
    <row r="28" spans="1:11" s="717" customFormat="1" ht="16.5" customHeight="1" x14ac:dyDescent="0.25">
      <c r="A28" s="2058"/>
      <c r="B28" s="2085" t="s">
        <v>341</v>
      </c>
      <c r="C28" s="2086"/>
      <c r="D28" s="2087"/>
      <c r="E28" s="747" t="s">
        <v>342</v>
      </c>
      <c r="F28" s="770"/>
      <c r="G28" s="780">
        <f>0.109</f>
        <v>0.109</v>
      </c>
      <c r="H28" s="736"/>
      <c r="I28" s="736"/>
      <c r="J28" s="736"/>
    </row>
    <row r="29" spans="1:11" s="717" customFormat="1" ht="30.75" hidden="1" customHeight="1" x14ac:dyDescent="0.25">
      <c r="A29" s="2058"/>
      <c r="B29" s="2088" t="s">
        <v>343</v>
      </c>
      <c r="C29" s="2089"/>
      <c r="D29" s="2090"/>
      <c r="E29" s="747" t="s">
        <v>344</v>
      </c>
      <c r="F29" s="770"/>
      <c r="G29" s="780">
        <f>0.051*0</f>
        <v>0</v>
      </c>
      <c r="H29" s="736"/>
      <c r="I29" s="736"/>
      <c r="J29" s="736"/>
    </row>
    <row r="30" spans="1:11" s="717" customFormat="1" ht="15.75" hidden="1" customHeight="1" x14ac:dyDescent="0.25">
      <c r="A30" s="2058"/>
      <c r="B30" s="764" t="s">
        <v>345</v>
      </c>
      <c r="C30" s="782"/>
      <c r="D30" s="782"/>
      <c r="E30" s="747" t="s">
        <v>346</v>
      </c>
      <c r="F30" s="770"/>
      <c r="G30" s="780">
        <f>0.269*0</f>
        <v>0</v>
      </c>
      <c r="H30" s="736"/>
      <c r="I30" s="736"/>
      <c r="J30" s="736"/>
      <c r="K30" s="783"/>
    </row>
    <row r="31" spans="1:11" s="717" customFormat="1" ht="20.25" hidden="1" customHeight="1" x14ac:dyDescent="0.25">
      <c r="A31" s="2058"/>
      <c r="B31" s="764" t="s">
        <v>347</v>
      </c>
      <c r="C31" s="784"/>
      <c r="D31" s="784"/>
      <c r="E31" s="747" t="s">
        <v>348</v>
      </c>
      <c r="F31" s="748"/>
      <c r="G31" s="780">
        <f>0.043*0</f>
        <v>0</v>
      </c>
      <c r="H31" s="736"/>
      <c r="I31" s="736"/>
      <c r="J31" s="736"/>
    </row>
    <row r="32" spans="1:11" s="717" customFormat="1" ht="15.75" hidden="1" customHeight="1" x14ac:dyDescent="0.25">
      <c r="A32" s="2058"/>
      <c r="B32" s="764" t="s">
        <v>349</v>
      </c>
      <c r="C32" s="782"/>
      <c r="D32" s="782"/>
      <c r="E32" s="747" t="s">
        <v>350</v>
      </c>
      <c r="F32" s="770"/>
      <c r="G32" s="780">
        <f>0.08*0</f>
        <v>0</v>
      </c>
      <c r="H32" s="736"/>
      <c r="I32" s="736"/>
      <c r="J32" s="736"/>
      <c r="K32" s="783"/>
    </row>
    <row r="33" spans="1:12" s="783" customFormat="1" ht="16.5" hidden="1" customHeight="1" x14ac:dyDescent="0.3">
      <c r="A33" s="2058"/>
      <c r="B33" s="785" t="s">
        <v>351</v>
      </c>
      <c r="C33" s="785"/>
      <c r="D33" s="786"/>
      <c r="E33" s="747" t="s">
        <v>352</v>
      </c>
      <c r="F33" s="787"/>
      <c r="G33" s="780">
        <f>0.107*0</f>
        <v>0</v>
      </c>
      <c r="H33" s="788" t="s">
        <v>353</v>
      </c>
      <c r="I33" s="789"/>
      <c r="J33" s="789"/>
    </row>
    <row r="34" spans="1:12" s="717" customFormat="1" ht="16.5" hidden="1" customHeight="1" x14ac:dyDescent="0.25">
      <c r="A34" s="2058"/>
      <c r="B34" s="764" t="s">
        <v>354</v>
      </c>
      <c r="C34" s="782"/>
      <c r="D34" s="782"/>
      <c r="E34" s="747" t="s">
        <v>355</v>
      </c>
      <c r="F34" s="770"/>
      <c r="G34" s="780">
        <f>0.043*0</f>
        <v>0</v>
      </c>
      <c r="H34" s="736"/>
      <c r="I34" s="736"/>
      <c r="J34" s="736"/>
    </row>
    <row r="35" spans="1:12" s="717" customFormat="1" ht="16.5" hidden="1" customHeight="1" x14ac:dyDescent="0.25">
      <c r="A35" s="2058"/>
      <c r="B35" s="790" t="s">
        <v>356</v>
      </c>
      <c r="C35" s="784"/>
      <c r="D35" s="784"/>
      <c r="E35" s="747" t="s">
        <v>357</v>
      </c>
      <c r="F35" s="748"/>
      <c r="G35" s="780">
        <f>0.048*0</f>
        <v>0</v>
      </c>
      <c r="H35" s="736"/>
      <c r="I35" s="736"/>
      <c r="J35" s="736"/>
    </row>
    <row r="36" spans="1:12" s="717" customFormat="1" ht="16.5" customHeight="1" x14ac:dyDescent="0.25">
      <c r="A36" s="2058"/>
      <c r="B36" s="791" t="s">
        <v>332</v>
      </c>
      <c r="C36" s="746"/>
      <c r="D36" s="746"/>
      <c r="E36" s="791" t="s">
        <v>358</v>
      </c>
      <c r="F36" s="748"/>
      <c r="G36" s="792">
        <f>SUM(G26:G35)</f>
        <v>0.35899999999999999</v>
      </c>
      <c r="H36" s="776"/>
      <c r="I36" s="776"/>
      <c r="J36" s="776"/>
    </row>
    <row r="37" spans="1:12" s="717" customFormat="1" ht="16.5" customHeight="1" x14ac:dyDescent="0.25">
      <c r="A37" s="2058"/>
      <c r="B37" s="791" t="s">
        <v>359</v>
      </c>
      <c r="C37" s="746"/>
      <c r="D37" s="746"/>
      <c r="E37" s="745" t="s">
        <v>360</v>
      </c>
      <c r="F37" s="748"/>
      <c r="G37" s="793">
        <v>310.99</v>
      </c>
      <c r="H37" s="794"/>
      <c r="I37" s="794"/>
      <c r="J37" s="794"/>
    </row>
    <row r="38" spans="1:12" s="717" customFormat="1" ht="18.75" customHeight="1" x14ac:dyDescent="0.25">
      <c r="A38" s="2058"/>
      <c r="B38" s="795" t="s">
        <v>361</v>
      </c>
      <c r="C38" s="796"/>
      <c r="D38" s="796"/>
      <c r="E38" s="795" t="s">
        <v>362</v>
      </c>
      <c r="F38" s="797"/>
      <c r="G38" s="798">
        <v>1.1499999999999999</v>
      </c>
      <c r="H38" s="771"/>
      <c r="I38" s="771"/>
      <c r="J38" s="771"/>
      <c r="K38" s="783"/>
    </row>
    <row r="39" spans="1:12" s="717" customFormat="1" ht="18" customHeight="1" thickBot="1" x14ac:dyDescent="0.3">
      <c r="A39" s="2059"/>
      <c r="B39" s="799" t="s">
        <v>363</v>
      </c>
      <c r="C39" s="800"/>
      <c r="D39" s="800"/>
      <c r="E39" s="800"/>
      <c r="F39" s="801"/>
      <c r="G39" s="802">
        <f>ROUND((G14/100)*G23*G36*G37*G38,2)</f>
        <v>430.76</v>
      </c>
      <c r="H39" s="803"/>
      <c r="I39" s="803"/>
      <c r="J39" s="803"/>
      <c r="K39" s="804"/>
      <c r="L39" s="805"/>
    </row>
    <row r="40" spans="1:12" s="717" customFormat="1" ht="16.5" customHeight="1" thickBot="1" x14ac:dyDescent="0.3">
      <c r="A40" s="806"/>
      <c r="B40" s="807" t="s">
        <v>364</v>
      </c>
      <c r="C40" s="808"/>
      <c r="D40" s="808"/>
      <c r="E40" s="808"/>
      <c r="F40" s="809"/>
      <c r="G40" s="810"/>
      <c r="H40" s="811"/>
      <c r="I40" s="811"/>
      <c r="J40" s="811"/>
      <c r="K40" s="805"/>
      <c r="L40" s="805"/>
    </row>
    <row r="41" spans="1:12" s="812" customFormat="1" ht="18.75" hidden="1" customHeight="1" x14ac:dyDescent="0.2">
      <c r="A41" s="2058"/>
      <c r="B41" s="757" t="s">
        <v>322</v>
      </c>
      <c r="C41" s="758"/>
      <c r="D41" s="758"/>
      <c r="E41" s="757" t="s">
        <v>323</v>
      </c>
      <c r="F41" s="759"/>
      <c r="G41" s="760">
        <f>G18</f>
        <v>1</v>
      </c>
      <c r="H41" s="763"/>
      <c r="I41" s="763"/>
      <c r="J41" s="763"/>
    </row>
    <row r="42" spans="1:12" s="812" customFormat="1" ht="18.75" hidden="1" customHeight="1" x14ac:dyDescent="0.2">
      <c r="A42" s="2058"/>
      <c r="B42" s="813" t="s">
        <v>324</v>
      </c>
      <c r="C42" s="814"/>
      <c r="D42" s="814"/>
      <c r="E42" s="813" t="s">
        <v>325</v>
      </c>
      <c r="F42" s="758"/>
      <c r="G42" s="815">
        <f>G19</f>
        <v>1</v>
      </c>
      <c r="H42" s="763"/>
      <c r="I42" s="763"/>
      <c r="J42" s="763"/>
    </row>
    <row r="43" spans="1:12" s="812" customFormat="1" ht="18.75" customHeight="1" x14ac:dyDescent="0.2">
      <c r="A43" s="2058"/>
      <c r="B43" s="816" t="s">
        <v>365</v>
      </c>
      <c r="C43" s="817"/>
      <c r="D43" s="817"/>
      <c r="E43" s="816" t="s">
        <v>327</v>
      </c>
      <c r="F43" s="818"/>
      <c r="G43" s="815">
        <f>G20</f>
        <v>1.1000000000000001</v>
      </c>
      <c r="H43" s="763"/>
      <c r="I43" s="763"/>
      <c r="J43" s="763"/>
    </row>
    <row r="44" spans="1:12" s="812" customFormat="1" ht="18.75" hidden="1" customHeight="1" x14ac:dyDescent="0.2">
      <c r="A44" s="2058"/>
      <c r="B44" s="813" t="s">
        <v>328</v>
      </c>
      <c r="C44" s="817"/>
      <c r="D44" s="814"/>
      <c r="E44" s="813" t="str">
        <f>E21</f>
        <v>т.2.2,п.5(а)</v>
      </c>
      <c r="F44" s="758"/>
      <c r="G44" s="815"/>
      <c r="H44" s="763"/>
      <c r="I44" s="763"/>
      <c r="J44" s="763"/>
    </row>
    <row r="45" spans="1:12" s="823" customFormat="1" ht="16.5" hidden="1" customHeight="1" x14ac:dyDescent="0.25">
      <c r="A45" s="2058"/>
      <c r="B45" s="819" t="s">
        <v>366</v>
      </c>
      <c r="C45" s="820"/>
      <c r="D45" s="820"/>
      <c r="E45" s="821" t="s">
        <v>367</v>
      </c>
      <c r="F45" s="822"/>
      <c r="G45" s="798"/>
      <c r="H45" s="771"/>
      <c r="I45" s="771"/>
      <c r="J45" s="771"/>
    </row>
    <row r="46" spans="1:12" s="812" customFormat="1" ht="18.75" customHeight="1" x14ac:dyDescent="0.2">
      <c r="A46" s="2058"/>
      <c r="B46" s="824" t="s">
        <v>332</v>
      </c>
      <c r="C46" s="825"/>
      <c r="D46" s="825"/>
      <c r="E46" s="824" t="s">
        <v>333</v>
      </c>
      <c r="F46" s="826"/>
      <c r="G46" s="827">
        <f>ROUND(PRODUCT(G41:G44),2)</f>
        <v>1.1000000000000001</v>
      </c>
      <c r="H46" s="763"/>
      <c r="I46" s="763"/>
      <c r="J46" s="763"/>
    </row>
    <row r="47" spans="1:12" s="762" customFormat="1" ht="18.75" customHeight="1" x14ac:dyDescent="0.2">
      <c r="A47" s="2058"/>
      <c r="B47" s="2060" t="s">
        <v>334</v>
      </c>
      <c r="C47" s="2061"/>
      <c r="D47" s="828"/>
      <c r="E47" s="829" t="s">
        <v>368</v>
      </c>
      <c r="F47" s="830"/>
      <c r="G47" s="831">
        <v>2</v>
      </c>
      <c r="H47" s="832"/>
      <c r="I47" s="832"/>
      <c r="J47" s="832"/>
    </row>
    <row r="48" spans="1:12" s="762" customFormat="1" ht="18.75" customHeight="1" x14ac:dyDescent="0.2">
      <c r="A48" s="2058"/>
      <c r="B48" s="833" t="s">
        <v>336</v>
      </c>
      <c r="C48" s="826"/>
      <c r="D48" s="826"/>
      <c r="E48" s="758"/>
      <c r="F48" s="759"/>
      <c r="G48" s="760"/>
      <c r="H48" s="761"/>
      <c r="I48" s="761"/>
      <c r="J48" s="761"/>
    </row>
    <row r="49" spans="1:11" s="762" customFormat="1" ht="25.5" customHeight="1" x14ac:dyDescent="0.2">
      <c r="A49" s="2058"/>
      <c r="B49" s="2062" t="s">
        <v>369</v>
      </c>
      <c r="C49" s="2063"/>
      <c r="D49" s="2063"/>
      <c r="E49" s="757" t="s">
        <v>370</v>
      </c>
      <c r="F49" s="759"/>
      <c r="G49" s="834">
        <f>0.03</f>
        <v>0.03</v>
      </c>
      <c r="H49" s="761"/>
      <c r="I49" s="761"/>
      <c r="J49" s="761"/>
    </row>
    <row r="50" spans="1:11" s="762" customFormat="1" ht="18.75" customHeight="1" x14ac:dyDescent="0.2">
      <c r="A50" s="2058"/>
      <c r="B50" s="2062" t="s">
        <v>337</v>
      </c>
      <c r="C50" s="2063"/>
      <c r="D50" s="2063"/>
      <c r="E50" s="757" t="s">
        <v>371</v>
      </c>
      <c r="F50" s="759"/>
      <c r="G50" s="834">
        <f>0.096</f>
        <v>9.6000000000000002E-2</v>
      </c>
      <c r="H50" s="835"/>
      <c r="I50" s="835"/>
      <c r="J50" s="835"/>
      <c r="K50" s="836"/>
    </row>
    <row r="51" spans="1:11" s="762" customFormat="1" ht="18.75" customHeight="1" x14ac:dyDescent="0.2">
      <c r="A51" s="2058"/>
      <c r="B51" s="757" t="s">
        <v>372</v>
      </c>
      <c r="C51" s="758"/>
      <c r="D51" s="758"/>
      <c r="E51" s="757" t="s">
        <v>373</v>
      </c>
      <c r="F51" s="759"/>
      <c r="G51" s="834">
        <f>0.296</f>
        <v>0.29599999999999999</v>
      </c>
      <c r="H51" s="835"/>
      <c r="I51" s="835"/>
      <c r="J51" s="835"/>
      <c r="K51" s="836"/>
    </row>
    <row r="52" spans="1:11" s="762" customFormat="1" ht="18.75" customHeight="1" x14ac:dyDescent="0.2">
      <c r="A52" s="2058"/>
      <c r="B52" s="757" t="s">
        <v>374</v>
      </c>
      <c r="C52" s="758"/>
      <c r="D52" s="758"/>
      <c r="E52" s="757" t="s">
        <v>375</v>
      </c>
      <c r="F52" s="759"/>
      <c r="G52" s="834">
        <f>0.346</f>
        <v>0.34599999999999997</v>
      </c>
      <c r="H52" s="835"/>
      <c r="I52" s="835"/>
      <c r="J52" s="835"/>
      <c r="K52" s="836"/>
    </row>
    <row r="53" spans="1:11" s="762" customFormat="1" ht="18.75" hidden="1" customHeight="1" x14ac:dyDescent="0.2">
      <c r="A53" s="2058"/>
      <c r="B53" s="757" t="s">
        <v>376</v>
      </c>
      <c r="C53" s="758"/>
      <c r="D53" s="758"/>
      <c r="E53" s="757" t="s">
        <v>377</v>
      </c>
      <c r="F53" s="759"/>
      <c r="G53" s="834">
        <f>0.101*0</f>
        <v>0</v>
      </c>
      <c r="H53" s="835"/>
      <c r="I53" s="835"/>
      <c r="J53" s="835"/>
    </row>
    <row r="54" spans="1:11" s="717" customFormat="1" ht="15.75" hidden="1" customHeight="1" x14ac:dyDescent="0.25">
      <c r="A54" s="2058"/>
      <c r="B54" s="747" t="s">
        <v>378</v>
      </c>
      <c r="C54" s="769"/>
      <c r="D54" s="769"/>
      <c r="E54" s="747" t="s">
        <v>379</v>
      </c>
      <c r="F54" s="748"/>
      <c r="G54" s="780">
        <f>0.091*0</f>
        <v>0</v>
      </c>
      <c r="H54" s="837"/>
      <c r="I54" s="837"/>
      <c r="J54" s="837"/>
    </row>
    <row r="55" spans="1:11" s="717" customFormat="1" ht="16.5" hidden="1" customHeight="1" x14ac:dyDescent="0.25">
      <c r="A55" s="2058"/>
      <c r="B55" s="2064" t="s">
        <v>380</v>
      </c>
      <c r="C55" s="2065"/>
      <c r="D55" s="2066"/>
      <c r="E55" s="747" t="s">
        <v>381</v>
      </c>
      <c r="F55" s="748"/>
      <c r="G55" s="780">
        <f>0.04*0</f>
        <v>0</v>
      </c>
      <c r="H55" s="837"/>
      <c r="I55" s="837"/>
      <c r="J55" s="837"/>
    </row>
    <row r="56" spans="1:11" s="762" customFormat="1" ht="18.75" customHeight="1" x14ac:dyDescent="0.2">
      <c r="A56" s="2058"/>
      <c r="B56" s="838" t="s">
        <v>332</v>
      </c>
      <c r="C56" s="839"/>
      <c r="D56" s="839"/>
      <c r="E56" s="838" t="s">
        <v>358</v>
      </c>
      <c r="F56" s="840"/>
      <c r="G56" s="841">
        <f>SUM(G49:G55)</f>
        <v>0.76800000000000002</v>
      </c>
      <c r="H56" s="842"/>
      <c r="I56" s="842"/>
      <c r="J56" s="842"/>
    </row>
    <row r="57" spans="1:11" s="762" customFormat="1" ht="18.75" customHeight="1" x14ac:dyDescent="0.2">
      <c r="A57" s="2058"/>
      <c r="B57" s="838" t="s">
        <v>382</v>
      </c>
      <c r="C57" s="839"/>
      <c r="D57" s="839"/>
      <c r="E57" s="843" t="s">
        <v>383</v>
      </c>
      <c r="F57" s="840"/>
      <c r="G57" s="844">
        <v>396.67</v>
      </c>
      <c r="H57" s="845"/>
      <c r="I57" s="845"/>
      <c r="J57" s="845"/>
    </row>
    <row r="58" spans="1:11" s="762" customFormat="1" ht="18.75" hidden="1" customHeight="1" x14ac:dyDescent="0.2">
      <c r="A58" s="2058"/>
      <c r="B58" s="757" t="s">
        <v>384</v>
      </c>
      <c r="C58" s="758"/>
      <c r="D58" s="758"/>
      <c r="E58" s="757" t="s">
        <v>385</v>
      </c>
      <c r="F58" s="759"/>
      <c r="G58" s="760"/>
      <c r="H58" s="763"/>
      <c r="I58" s="763"/>
      <c r="J58" s="763"/>
    </row>
    <row r="59" spans="1:11" s="762" customFormat="1" ht="18.75" customHeight="1" thickBot="1" x14ac:dyDescent="0.25">
      <c r="A59" s="2059"/>
      <c r="B59" s="846" t="s">
        <v>386</v>
      </c>
      <c r="C59" s="847"/>
      <c r="D59" s="847"/>
      <c r="E59" s="847"/>
      <c r="F59" s="848"/>
      <c r="G59" s="849">
        <f>ROUND((G14/100)*G56*G57*G46,2)</f>
        <v>408.83</v>
      </c>
      <c r="H59" s="850"/>
      <c r="I59" s="850"/>
      <c r="J59" s="850"/>
      <c r="K59" s="851"/>
    </row>
    <row r="60" spans="1:11" s="717" customFormat="1" ht="16.5" customHeight="1" thickBot="1" x14ac:dyDescent="0.3">
      <c r="A60" s="806"/>
      <c r="B60" s="807" t="s">
        <v>387</v>
      </c>
      <c r="C60" s="808"/>
      <c r="D60" s="808"/>
      <c r="E60" s="852" t="str">
        <f>B46</f>
        <v>Общий коэффициент</v>
      </c>
      <c r="F60" s="853"/>
      <c r="G60" s="854">
        <f>G46</f>
        <v>1.1000000000000001</v>
      </c>
      <c r="H60" s="736"/>
      <c r="I60" s="736"/>
      <c r="J60" s="736"/>
    </row>
    <row r="61" spans="1:11" s="861" customFormat="1" ht="21" customHeight="1" x14ac:dyDescent="0.25">
      <c r="A61" s="2067">
        <v>3</v>
      </c>
      <c r="B61" s="855" t="s">
        <v>388</v>
      </c>
      <c r="C61" s="856"/>
      <c r="D61" s="856"/>
      <c r="E61" s="857" t="s">
        <v>389</v>
      </c>
      <c r="F61" s="858" t="s">
        <v>390</v>
      </c>
      <c r="G61" s="859">
        <v>10</v>
      </c>
      <c r="H61" s="860"/>
      <c r="I61" s="860"/>
      <c r="J61" s="860"/>
    </row>
    <row r="62" spans="1:11" s="861" customFormat="1" ht="19.5" customHeight="1" x14ac:dyDescent="0.25">
      <c r="A62" s="2058"/>
      <c r="B62" s="862" t="s">
        <v>391</v>
      </c>
      <c r="C62" s="863"/>
      <c r="D62" s="863"/>
      <c r="E62" s="864"/>
      <c r="F62" s="865" t="s">
        <v>392</v>
      </c>
      <c r="G62" s="866">
        <v>143.24</v>
      </c>
      <c r="H62" s="867"/>
      <c r="I62" s="867"/>
      <c r="J62" s="868"/>
    </row>
    <row r="63" spans="1:11" s="861" customFormat="1" ht="18.75" customHeight="1" x14ac:dyDescent="0.25">
      <c r="A63" s="2058"/>
      <c r="B63" s="869"/>
      <c r="C63" s="870"/>
      <c r="D63" s="870"/>
      <c r="E63" s="871"/>
      <c r="F63" s="872" t="s">
        <v>393</v>
      </c>
      <c r="G63" s="873">
        <f>ROUND(G61*G62,2)</f>
        <v>1432.4</v>
      </c>
      <c r="H63" s="867"/>
      <c r="I63" s="867"/>
      <c r="J63" s="867"/>
    </row>
    <row r="64" spans="1:11" s="717" customFormat="1" ht="16.5" customHeight="1" x14ac:dyDescent="0.25">
      <c r="A64" s="2058"/>
      <c r="B64" s="874" t="s">
        <v>394</v>
      </c>
      <c r="C64" s="736"/>
      <c r="D64" s="875"/>
      <c r="E64" s="876" t="s">
        <v>395</v>
      </c>
      <c r="F64" s="759" t="s">
        <v>396</v>
      </c>
      <c r="G64" s="877">
        <v>5</v>
      </c>
      <c r="H64" s="878"/>
      <c r="I64" s="878"/>
      <c r="J64" s="878"/>
    </row>
    <row r="65" spans="1:10" s="717" customFormat="1" ht="16.5" customHeight="1" x14ac:dyDescent="0.25">
      <c r="A65" s="2058"/>
      <c r="B65" s="879"/>
      <c r="C65" s="736"/>
      <c r="D65" s="736"/>
      <c r="E65" s="880"/>
      <c r="F65" s="840" t="s">
        <v>392</v>
      </c>
      <c r="G65" s="760">
        <v>251.2</v>
      </c>
      <c r="H65" s="771"/>
      <c r="I65" s="771"/>
      <c r="J65" s="771"/>
    </row>
    <row r="66" spans="1:10" s="717" customFormat="1" ht="16.5" customHeight="1" x14ac:dyDescent="0.25">
      <c r="A66" s="2058"/>
      <c r="B66" s="745"/>
      <c r="C66" s="746"/>
      <c r="D66" s="746"/>
      <c r="E66" s="881"/>
      <c r="F66" s="882" t="s">
        <v>393</v>
      </c>
      <c r="G66" s="873">
        <f>ROUND(G64*G65,2)</f>
        <v>1256</v>
      </c>
      <c r="H66" s="771"/>
      <c r="I66" s="771"/>
      <c r="J66" s="771"/>
    </row>
    <row r="67" spans="1:10" s="889" customFormat="1" ht="16.5" hidden="1" customHeight="1" x14ac:dyDescent="0.25">
      <c r="A67" s="2058"/>
      <c r="B67" s="883" t="s">
        <v>397</v>
      </c>
      <c r="C67" s="884"/>
      <c r="D67" s="884"/>
      <c r="E67" s="885" t="s">
        <v>398</v>
      </c>
      <c r="F67" s="886" t="s">
        <v>399</v>
      </c>
      <c r="G67" s="887">
        <v>0</v>
      </c>
      <c r="H67" s="888"/>
      <c r="I67" s="888"/>
      <c r="J67" s="888"/>
    </row>
    <row r="68" spans="1:10" s="889" customFormat="1" ht="16.5" hidden="1" customHeight="1" x14ac:dyDescent="0.25">
      <c r="A68" s="2058"/>
      <c r="B68" s="883" t="s">
        <v>400</v>
      </c>
      <c r="C68" s="884"/>
      <c r="D68" s="884"/>
      <c r="E68" s="885"/>
      <c r="F68" s="886" t="s">
        <v>392</v>
      </c>
      <c r="G68" s="890">
        <v>360.69</v>
      </c>
      <c r="H68" s="888"/>
      <c r="I68" s="888"/>
      <c r="J68" s="888"/>
    </row>
    <row r="69" spans="1:10" s="889" customFormat="1" ht="33" hidden="1" customHeight="1" x14ac:dyDescent="0.25">
      <c r="A69" s="2058"/>
      <c r="B69" s="891"/>
      <c r="C69" s="892"/>
      <c r="D69" s="884"/>
      <c r="E69" s="893" t="s">
        <v>401</v>
      </c>
      <c r="F69" s="886" t="s">
        <v>393</v>
      </c>
      <c r="G69" s="890">
        <f>ROUND(G67*G68*1.15,2)</f>
        <v>0</v>
      </c>
      <c r="H69" s="888"/>
      <c r="I69" s="888"/>
      <c r="J69" s="888"/>
    </row>
    <row r="70" spans="1:10" s="717" customFormat="1" ht="17.25" customHeight="1" x14ac:dyDescent="0.25">
      <c r="A70" s="2058"/>
      <c r="B70" s="2046" t="s">
        <v>402</v>
      </c>
      <c r="C70" s="2047"/>
      <c r="D70" s="2048"/>
      <c r="E70" s="894" t="s">
        <v>403</v>
      </c>
      <c r="F70" s="759" t="s">
        <v>404</v>
      </c>
      <c r="G70" s="877">
        <v>10</v>
      </c>
      <c r="H70" s="878"/>
      <c r="I70" s="878"/>
      <c r="J70" s="878"/>
    </row>
    <row r="71" spans="1:10" s="717" customFormat="1" ht="29.25" customHeight="1" x14ac:dyDescent="0.25">
      <c r="A71" s="2058"/>
      <c r="B71" s="2070"/>
      <c r="C71" s="2071"/>
      <c r="D71" s="2072"/>
      <c r="E71" s="895" t="s">
        <v>405</v>
      </c>
      <c r="F71" s="759" t="s">
        <v>406</v>
      </c>
      <c r="G71" s="760">
        <v>96.08</v>
      </c>
      <c r="H71" s="771"/>
      <c r="I71" s="771"/>
      <c r="J71" s="771"/>
    </row>
    <row r="72" spans="1:10" s="717" customFormat="1" ht="30" customHeight="1" x14ac:dyDescent="0.25">
      <c r="A72" s="2058"/>
      <c r="B72" s="2049"/>
      <c r="C72" s="2050"/>
      <c r="D72" s="2051"/>
      <c r="E72" s="896" t="str">
        <f>CONCATENATE(G70,"*",G71,"*1,15*",G60,"=")</f>
        <v>10*96,08*1,15*1,1=</v>
      </c>
      <c r="F72" s="897" t="s">
        <v>393</v>
      </c>
      <c r="G72" s="831">
        <f>ROUND(G70*G71*G60*1.15,2)</f>
        <v>1215.4100000000001</v>
      </c>
      <c r="H72" s="898"/>
      <c r="I72" s="771"/>
      <c r="J72" s="771"/>
    </row>
    <row r="73" spans="1:10" s="889" customFormat="1" ht="15.75" hidden="1" customHeight="1" x14ac:dyDescent="0.25">
      <c r="A73" s="2058"/>
      <c r="B73" s="899" t="s">
        <v>408</v>
      </c>
      <c r="C73" s="900"/>
      <c r="D73" s="901"/>
      <c r="E73" s="902" t="s">
        <v>409</v>
      </c>
      <c r="F73" s="903" t="s">
        <v>404</v>
      </c>
      <c r="G73" s="887">
        <v>0</v>
      </c>
      <c r="H73" s="888"/>
      <c r="I73" s="888"/>
      <c r="J73" s="888"/>
    </row>
    <row r="74" spans="1:10" s="889" customFormat="1" ht="15.75" hidden="1" customHeight="1" x14ac:dyDescent="0.25">
      <c r="A74" s="2058"/>
      <c r="B74" s="904" t="s">
        <v>410</v>
      </c>
      <c r="C74" s="905"/>
      <c r="D74" s="906"/>
      <c r="E74" s="902"/>
      <c r="F74" s="903" t="s">
        <v>411</v>
      </c>
      <c r="G74" s="890">
        <v>89.95</v>
      </c>
      <c r="H74" s="888"/>
      <c r="I74" s="888"/>
      <c r="J74" s="888"/>
    </row>
    <row r="75" spans="1:10" s="889" customFormat="1" ht="31.5" hidden="1" customHeight="1" x14ac:dyDescent="0.25">
      <c r="A75" s="2058"/>
      <c r="B75" s="907"/>
      <c r="C75" s="908"/>
      <c r="D75" s="886"/>
      <c r="E75" s="909" t="s">
        <v>412</v>
      </c>
      <c r="F75" s="886" t="s">
        <v>393</v>
      </c>
      <c r="G75" s="890">
        <f>ROUND(G73*G74*1.15,2)</f>
        <v>0</v>
      </c>
      <c r="H75" s="888"/>
      <c r="I75" s="888"/>
      <c r="J75" s="888"/>
    </row>
    <row r="76" spans="1:10" s="717" customFormat="1" ht="31.5" x14ac:dyDescent="0.25">
      <c r="A76" s="2058"/>
      <c r="B76" s="2046" t="s">
        <v>413</v>
      </c>
      <c r="C76" s="2047"/>
      <c r="D76" s="2048"/>
      <c r="E76" s="910" t="s">
        <v>414</v>
      </c>
      <c r="F76" s="911" t="s">
        <v>415</v>
      </c>
      <c r="G76" s="877">
        <v>3</v>
      </c>
      <c r="H76" s="878"/>
      <c r="I76" s="878"/>
      <c r="J76" s="878"/>
    </row>
    <row r="77" spans="1:10" s="717" customFormat="1" ht="34.5" customHeight="1" x14ac:dyDescent="0.25">
      <c r="A77" s="2058"/>
      <c r="B77" s="2070"/>
      <c r="C77" s="2071"/>
      <c r="D77" s="2072"/>
      <c r="E77" s="895" t="s">
        <v>405</v>
      </c>
      <c r="F77" s="840" t="s">
        <v>392</v>
      </c>
      <c r="G77" s="760">
        <v>72.45</v>
      </c>
      <c r="H77" s="771"/>
      <c r="I77" s="771"/>
      <c r="J77" s="771"/>
    </row>
    <row r="78" spans="1:10" s="717" customFormat="1" ht="29.25" customHeight="1" x14ac:dyDescent="0.25">
      <c r="A78" s="2058"/>
      <c r="B78" s="2049"/>
      <c r="C78" s="2050"/>
      <c r="D78" s="2051"/>
      <c r="E78" s="896" t="str">
        <f>CONCATENATE(G76,"*",G77,"*1,15*",G60,"=")</f>
        <v>3*72,45*1,15*1,1=</v>
      </c>
      <c r="F78" s="897" t="s">
        <v>393</v>
      </c>
      <c r="G78" s="831">
        <f>ROUND(G76*G77*G60*1.15,2)</f>
        <v>274.95</v>
      </c>
      <c r="H78" s="898"/>
      <c r="I78" s="771">
        <f>3*72.45*1.15*1.1</f>
        <v>274.94775000000004</v>
      </c>
      <c r="J78" s="771"/>
    </row>
    <row r="79" spans="1:10" s="889" customFormat="1" ht="17.25" hidden="1" customHeight="1" x14ac:dyDescent="0.25">
      <c r="A79" s="2068"/>
      <c r="B79" s="2073" t="s">
        <v>416</v>
      </c>
      <c r="C79" s="2074"/>
      <c r="D79" s="2075"/>
      <c r="E79" s="912" t="s">
        <v>417</v>
      </c>
      <c r="F79" s="913" t="s">
        <v>399</v>
      </c>
      <c r="G79" s="914">
        <v>0</v>
      </c>
      <c r="H79" s="888"/>
      <c r="I79" s="888"/>
      <c r="J79" s="888"/>
    </row>
    <row r="80" spans="1:10" s="889" customFormat="1" ht="35.25" hidden="1" customHeight="1" x14ac:dyDescent="0.25">
      <c r="A80" s="2068"/>
      <c r="B80" s="2076"/>
      <c r="C80" s="2077"/>
      <c r="D80" s="2078"/>
      <c r="E80" s="915" t="s">
        <v>401</v>
      </c>
      <c r="F80" s="916" t="s">
        <v>406</v>
      </c>
      <c r="G80" s="917">
        <v>119.13</v>
      </c>
      <c r="H80" s="888"/>
      <c r="I80" s="888"/>
      <c r="J80" s="888"/>
    </row>
    <row r="81" spans="1:32" s="889" customFormat="1" ht="21" hidden="1" customHeight="1" x14ac:dyDescent="0.25">
      <c r="A81" s="2068"/>
      <c r="B81" s="2079"/>
      <c r="C81" s="2080"/>
      <c r="D81" s="2081"/>
      <c r="E81" s="918" t="str">
        <f>CONCATENATE(G79,"*",G80,"*",G60,"=")</f>
        <v>0*119,13*1,1=</v>
      </c>
      <c r="F81" s="872" t="s">
        <v>393</v>
      </c>
      <c r="G81" s="919">
        <f>ROUND(G79*G80*G60*1.15,0)</f>
        <v>0</v>
      </c>
      <c r="H81" s="898" t="s">
        <v>407</v>
      </c>
      <c r="I81" s="888"/>
      <c r="J81" s="888"/>
    </row>
    <row r="82" spans="1:32" s="889" customFormat="1" ht="17.25" hidden="1" customHeight="1" x14ac:dyDescent="0.25">
      <c r="A82" s="2068"/>
      <c r="B82" s="2028" t="s">
        <v>418</v>
      </c>
      <c r="C82" s="2029"/>
      <c r="D82" s="2030"/>
      <c r="E82" s="920" t="s">
        <v>419</v>
      </c>
      <c r="F82" s="903" t="s">
        <v>399</v>
      </c>
      <c r="G82" s="921">
        <v>0</v>
      </c>
      <c r="H82" s="888"/>
      <c r="I82" s="888"/>
      <c r="J82" s="888"/>
    </row>
    <row r="83" spans="1:32" s="889" customFormat="1" ht="28.5" hidden="1" customHeight="1" x14ac:dyDescent="0.25">
      <c r="A83" s="2068"/>
      <c r="B83" s="2031"/>
      <c r="C83" s="2032"/>
      <c r="D83" s="2033"/>
      <c r="E83" s="893" t="s">
        <v>401</v>
      </c>
      <c r="F83" s="886" t="s">
        <v>406</v>
      </c>
      <c r="G83" s="922">
        <v>424.71</v>
      </c>
      <c r="H83" s="888"/>
      <c r="I83" s="888"/>
      <c r="J83" s="888"/>
    </row>
    <row r="84" spans="1:32" s="889" customFormat="1" ht="30" hidden="1" customHeight="1" x14ac:dyDescent="0.25">
      <c r="A84" s="2068"/>
      <c r="B84" s="2034"/>
      <c r="C84" s="2035"/>
      <c r="D84" s="2036"/>
      <c r="E84" s="923" t="str">
        <f>CONCATENATE(G82,"*",G83,"*",G60,"=")</f>
        <v>0*424,71*1,1=</v>
      </c>
      <c r="F84" s="886" t="s">
        <v>393</v>
      </c>
      <c r="G84" s="890">
        <f>ROUND(G82*G83*1.15,2)</f>
        <v>0</v>
      </c>
      <c r="H84" s="888"/>
      <c r="I84" s="888"/>
      <c r="J84" s="888"/>
    </row>
    <row r="85" spans="1:32" s="889" customFormat="1" ht="17.25" hidden="1" customHeight="1" x14ac:dyDescent="0.25">
      <c r="A85" s="2068"/>
      <c r="B85" s="2028" t="s">
        <v>420</v>
      </c>
      <c r="C85" s="2029"/>
      <c r="D85" s="2030"/>
      <c r="E85" s="920" t="s">
        <v>421</v>
      </c>
      <c r="F85" s="903" t="s">
        <v>422</v>
      </c>
      <c r="G85" s="921">
        <v>0</v>
      </c>
      <c r="H85" s="888"/>
      <c r="I85" s="888"/>
      <c r="J85" s="888"/>
    </row>
    <row r="86" spans="1:32" s="889" customFormat="1" ht="31.5" hidden="1" customHeight="1" x14ac:dyDescent="0.25">
      <c r="A86" s="2068"/>
      <c r="B86" s="2031"/>
      <c r="C86" s="2032"/>
      <c r="D86" s="2033"/>
      <c r="E86" s="893" t="s">
        <v>401</v>
      </c>
      <c r="F86" s="886" t="s">
        <v>392</v>
      </c>
      <c r="G86" s="922">
        <v>509.65</v>
      </c>
      <c r="H86" s="888"/>
      <c r="I86" s="888"/>
      <c r="J86" s="888"/>
    </row>
    <row r="87" spans="1:32" s="889" customFormat="1" ht="29.25" hidden="1" customHeight="1" x14ac:dyDescent="0.25">
      <c r="A87" s="2068"/>
      <c r="B87" s="2034"/>
      <c r="C87" s="2035"/>
      <c r="D87" s="2036"/>
      <c r="E87" s="923" t="str">
        <f>CONCATENATE(G85,"*",G86,"*",G60,"=")</f>
        <v>0*509,65*1,1=</v>
      </c>
      <c r="F87" s="886" t="s">
        <v>393</v>
      </c>
      <c r="G87" s="890">
        <f>ROUND(G85*G86*1.15,2)</f>
        <v>0</v>
      </c>
      <c r="H87" s="888"/>
      <c r="I87" s="888"/>
      <c r="J87" s="888"/>
    </row>
    <row r="88" spans="1:32" s="889" customFormat="1" ht="17.25" hidden="1" customHeight="1" x14ac:dyDescent="0.25">
      <c r="A88" s="2068"/>
      <c r="B88" s="2037" t="s">
        <v>423</v>
      </c>
      <c r="C88" s="2038"/>
      <c r="D88" s="2039"/>
      <c r="E88" s="912" t="s">
        <v>424</v>
      </c>
      <c r="F88" s="913" t="s">
        <v>399</v>
      </c>
      <c r="G88" s="914">
        <v>0</v>
      </c>
      <c r="H88" s="888"/>
      <c r="I88" s="888"/>
      <c r="J88" s="888"/>
    </row>
    <row r="89" spans="1:32" s="889" customFormat="1" ht="31.5" hidden="1" x14ac:dyDescent="0.25">
      <c r="A89" s="2068"/>
      <c r="B89" s="2040"/>
      <c r="C89" s="2041"/>
      <c r="D89" s="2042"/>
      <c r="E89" s="915" t="s">
        <v>401</v>
      </c>
      <c r="F89" s="916" t="s">
        <v>406</v>
      </c>
      <c r="G89" s="917">
        <v>503.65</v>
      </c>
      <c r="H89" s="888"/>
      <c r="I89" s="888"/>
      <c r="J89" s="888"/>
    </row>
    <row r="90" spans="1:32" s="889" customFormat="1" ht="21" hidden="1" customHeight="1" x14ac:dyDescent="0.25">
      <c r="A90" s="2068"/>
      <c r="B90" s="2043"/>
      <c r="C90" s="2044"/>
      <c r="D90" s="2045"/>
      <c r="E90" s="918" t="str">
        <f>CONCATENATE(G88,"*",G89,"*1,15*",G60,"=")</f>
        <v>0*503,65*1,15*1,1=</v>
      </c>
      <c r="F90" s="872" t="s">
        <v>393</v>
      </c>
      <c r="G90" s="873">
        <f>ROUND(G88*G89*G60*1.15,2)</f>
        <v>0</v>
      </c>
      <c r="H90" s="898" t="s">
        <v>407</v>
      </c>
      <c r="I90" s="888"/>
      <c r="J90" s="888"/>
    </row>
    <row r="91" spans="1:32" s="762" customFormat="1" ht="23.25" hidden="1" customHeight="1" x14ac:dyDescent="0.2">
      <c r="A91" s="2068"/>
      <c r="B91" s="757" t="s">
        <v>425</v>
      </c>
      <c r="C91" s="758"/>
      <c r="D91" s="759"/>
      <c r="E91" s="924" t="s">
        <v>426</v>
      </c>
      <c r="F91" s="925" t="s">
        <v>427</v>
      </c>
      <c r="G91" s="926">
        <f>6923*0</f>
        <v>0</v>
      </c>
      <c r="H91" s="763"/>
      <c r="I91" s="763"/>
      <c r="J91" s="763"/>
    </row>
    <row r="92" spans="1:32" s="717" customFormat="1" ht="17.25" customHeight="1" x14ac:dyDescent="0.25">
      <c r="A92" s="2068"/>
      <c r="B92" s="2046" t="s">
        <v>428</v>
      </c>
      <c r="C92" s="2047"/>
      <c r="D92" s="2048"/>
      <c r="E92" s="2052" t="s">
        <v>429</v>
      </c>
      <c r="F92" s="2054" t="s">
        <v>430</v>
      </c>
      <c r="G92" s="2091">
        <f>5161</f>
        <v>5161</v>
      </c>
      <c r="H92" s="771"/>
      <c r="I92" s="771"/>
      <c r="J92" s="771"/>
    </row>
    <row r="93" spans="1:32" s="717" customFormat="1" ht="17.25" customHeight="1" x14ac:dyDescent="0.25">
      <c r="A93" s="2068"/>
      <c r="B93" s="2049"/>
      <c r="C93" s="2050"/>
      <c r="D93" s="2051"/>
      <c r="E93" s="2053"/>
      <c r="F93" s="2055"/>
      <c r="G93" s="2092"/>
      <c r="H93" s="771"/>
      <c r="I93" s="771"/>
      <c r="J93" s="771"/>
    </row>
    <row r="94" spans="1:32" s="929" customFormat="1" ht="17.25" customHeight="1" thickBot="1" x14ac:dyDescent="0.3">
      <c r="A94" s="2068"/>
      <c r="B94" s="750" t="s">
        <v>431</v>
      </c>
      <c r="C94" s="777"/>
      <c r="D94" s="777"/>
      <c r="E94" s="777"/>
      <c r="F94" s="927"/>
      <c r="G94" s="928">
        <f>G63+G66+G69+G72+G75+G78+G81+G84+G87+G90+G91+G92</f>
        <v>9339.76</v>
      </c>
      <c r="H94" s="794">
        <f>G92+G91+G90+G81+G78+G72+G66+G63</f>
        <v>9339.76</v>
      </c>
      <c r="I94" s="794"/>
      <c r="J94" s="794"/>
    </row>
    <row r="95" spans="1:32" s="717" customFormat="1" ht="24.75" hidden="1" customHeight="1" x14ac:dyDescent="0.25">
      <c r="A95" s="2069"/>
      <c r="B95" s="930" t="s">
        <v>432</v>
      </c>
      <c r="C95" s="875"/>
      <c r="D95" s="875"/>
      <c r="E95" s="875" t="s">
        <v>433</v>
      </c>
      <c r="F95" s="830" t="s">
        <v>434</v>
      </c>
      <c r="G95" s="931">
        <f>4560*0</f>
        <v>0</v>
      </c>
      <c r="H95" s="771"/>
      <c r="I95" s="771"/>
      <c r="J95" s="771"/>
    </row>
    <row r="96" spans="1:32" s="709" customFormat="1" ht="39" customHeight="1" thickBot="1" x14ac:dyDescent="0.3">
      <c r="A96" s="806"/>
      <c r="B96" s="2026" t="str">
        <f>CONCATENATE("Итого обследование здания в базовых ценах по адресу: ",D10)</f>
        <v>Итого обследование здания в базовых ценах по адресу: г.Москва, Сторожевая ул., д.18 (пристройка)</v>
      </c>
      <c r="C96" s="2027"/>
      <c r="D96" s="2027"/>
      <c r="E96" s="932"/>
      <c r="F96" s="933"/>
      <c r="G96" s="934">
        <f>SUM(G59,G39,G94,G95,G84,)</f>
        <v>10179.35</v>
      </c>
      <c r="H96" s="935"/>
      <c r="S96" s="706"/>
      <c r="T96" s="706"/>
      <c r="U96" s="706"/>
      <c r="V96" s="706"/>
      <c r="W96" s="706"/>
      <c r="X96" s="706"/>
      <c r="Y96" s="706"/>
      <c r="Z96" s="706"/>
      <c r="AA96" s="706"/>
      <c r="AB96" s="706"/>
      <c r="AC96" s="706"/>
      <c r="AD96" s="706"/>
      <c r="AE96" s="706"/>
      <c r="AF96" s="706"/>
    </row>
    <row r="97" spans="1:32" s="726" customFormat="1" ht="22.5" hidden="1" customHeight="1" thickBot="1" x14ac:dyDescent="0.3">
      <c r="A97" s="721"/>
      <c r="B97" s="722" t="s">
        <v>312</v>
      </c>
      <c r="C97" s="723"/>
      <c r="D97" s="722"/>
      <c r="E97" s="723"/>
      <c r="F97" s="723"/>
      <c r="G97" s="724"/>
      <c r="H97" s="725"/>
      <c r="I97" s="725"/>
      <c r="J97" s="725"/>
      <c r="Q97" s="725"/>
      <c r="R97" s="725"/>
    </row>
    <row r="98" spans="1:32" s="709" customFormat="1" ht="16.5" hidden="1" thickBot="1" x14ac:dyDescent="0.3">
      <c r="A98" s="727"/>
      <c r="B98" s="728" t="s">
        <v>314</v>
      </c>
      <c r="C98" s="729"/>
      <c r="D98" s="729"/>
      <c r="E98" s="729"/>
      <c r="F98" s="729"/>
      <c r="G98" s="730"/>
      <c r="K98" s="706"/>
      <c r="L98" s="706"/>
      <c r="M98" s="706"/>
      <c r="N98" s="706"/>
      <c r="O98" s="706"/>
      <c r="P98" s="706"/>
      <c r="S98" s="706"/>
      <c r="T98" s="706"/>
      <c r="U98" s="706"/>
      <c r="V98" s="706"/>
      <c r="W98" s="706"/>
      <c r="X98" s="706"/>
      <c r="Y98" s="706"/>
      <c r="Z98" s="706"/>
      <c r="AA98" s="706"/>
      <c r="AB98" s="706"/>
      <c r="AC98" s="706"/>
      <c r="AD98" s="706"/>
      <c r="AE98" s="706"/>
      <c r="AF98" s="706"/>
    </row>
    <row r="99" spans="1:32" s="717" customFormat="1" ht="16.5" hidden="1" customHeight="1" x14ac:dyDescent="0.25">
      <c r="A99" s="2067">
        <v>1</v>
      </c>
      <c r="B99" s="731" t="s">
        <v>315</v>
      </c>
      <c r="C99" s="732"/>
      <c r="D99" s="732"/>
      <c r="E99" s="732"/>
      <c r="F99" s="733"/>
      <c r="G99" s="734">
        <v>38</v>
      </c>
      <c r="H99" s="735"/>
      <c r="I99" s="735"/>
      <c r="J99" s="736"/>
    </row>
    <row r="100" spans="1:32" s="717" customFormat="1" ht="16.5" hidden="1" customHeight="1" x14ac:dyDescent="0.25">
      <c r="A100" s="2058"/>
      <c r="B100" s="737" t="s">
        <v>316</v>
      </c>
      <c r="C100" s="738"/>
      <c r="D100" s="738"/>
      <c r="E100" s="738"/>
      <c r="F100" s="739"/>
      <c r="G100" s="740">
        <v>59584</v>
      </c>
      <c r="H100" s="741"/>
      <c r="I100" s="741"/>
      <c r="J100" s="736"/>
    </row>
    <row r="101" spans="1:32" s="717" customFormat="1" ht="16.5" hidden="1" customHeight="1" x14ac:dyDescent="0.25">
      <c r="A101" s="2058"/>
      <c r="B101" s="742" t="s">
        <v>317</v>
      </c>
      <c r="C101" s="743"/>
      <c r="D101" s="743"/>
      <c r="E101" s="743"/>
      <c r="F101" s="744"/>
      <c r="G101" s="740">
        <v>59584</v>
      </c>
      <c r="H101" s="741"/>
      <c r="I101" s="741"/>
      <c r="J101" s="736"/>
    </row>
    <row r="102" spans="1:32" s="717" customFormat="1" ht="16.5" hidden="1" customHeight="1" x14ac:dyDescent="0.25">
      <c r="A102" s="2058"/>
      <c r="B102" s="745" t="s">
        <v>318</v>
      </c>
      <c r="C102" s="746"/>
      <c r="D102" s="746"/>
      <c r="E102" s="747" t="s">
        <v>319</v>
      </c>
      <c r="F102" s="748"/>
      <c r="G102" s="749">
        <v>2</v>
      </c>
      <c r="H102" s="736"/>
      <c r="I102" s="736"/>
      <c r="J102" s="736"/>
    </row>
    <row r="103" spans="1:32" s="717" customFormat="1" ht="16.5" hidden="1" customHeight="1" x14ac:dyDescent="0.25">
      <c r="A103" s="2058"/>
      <c r="B103" s="750" t="s">
        <v>320</v>
      </c>
      <c r="C103" s="736"/>
      <c r="D103" s="736"/>
      <c r="E103" s="736"/>
      <c r="F103" s="751"/>
      <c r="G103" s="752"/>
      <c r="H103" s="753"/>
      <c r="I103" s="753"/>
      <c r="J103" s="753"/>
    </row>
    <row r="104" spans="1:32" s="717" customFormat="1" ht="18.75" hidden="1" customHeight="1" x14ac:dyDescent="0.25">
      <c r="A104" s="2058"/>
      <c r="B104" s="754" t="s">
        <v>321</v>
      </c>
      <c r="C104" s="755"/>
      <c r="D104" s="755"/>
      <c r="E104" s="754" t="s">
        <v>310</v>
      </c>
      <c r="F104" s="756"/>
      <c r="G104" s="749"/>
      <c r="H104" s="736"/>
      <c r="I104" s="736"/>
      <c r="J104" s="736"/>
    </row>
    <row r="105" spans="1:32" s="762" customFormat="1" ht="18.75" hidden="1" customHeight="1" x14ac:dyDescent="0.2">
      <c r="A105" s="2058"/>
      <c r="B105" s="757" t="s">
        <v>322</v>
      </c>
      <c r="C105" s="758"/>
      <c r="D105" s="758"/>
      <c r="E105" s="757" t="s">
        <v>323</v>
      </c>
      <c r="F105" s="759"/>
      <c r="G105" s="760">
        <v>1</v>
      </c>
      <c r="H105" s="761"/>
      <c r="I105" s="761"/>
      <c r="J105" s="761"/>
    </row>
    <row r="106" spans="1:32" s="762" customFormat="1" ht="24.75" hidden="1" customHeight="1" x14ac:dyDescent="0.2">
      <c r="A106" s="2058"/>
      <c r="B106" s="757" t="s">
        <v>324</v>
      </c>
      <c r="C106" s="758"/>
      <c r="D106" s="758"/>
      <c r="E106" s="757" t="s">
        <v>325</v>
      </c>
      <c r="F106" s="759"/>
      <c r="G106" s="760">
        <v>1</v>
      </c>
      <c r="H106" s="763"/>
      <c r="I106" s="763"/>
      <c r="J106" s="763"/>
    </row>
    <row r="107" spans="1:32" s="768" customFormat="1" ht="18.75" hidden="1" customHeight="1" x14ac:dyDescent="0.25">
      <c r="A107" s="2058"/>
      <c r="B107" s="2082" t="s">
        <v>326</v>
      </c>
      <c r="C107" s="2083"/>
      <c r="D107" s="2084"/>
      <c r="E107" s="764" t="s">
        <v>327</v>
      </c>
      <c r="F107" s="765"/>
      <c r="G107" s="766">
        <v>1.1000000000000001</v>
      </c>
      <c r="H107" s="767"/>
      <c r="I107" s="767"/>
      <c r="J107" s="767"/>
    </row>
    <row r="108" spans="1:32" s="717" customFormat="1" ht="17.25" hidden="1" customHeight="1" x14ac:dyDescent="0.25">
      <c r="A108" s="2058"/>
      <c r="B108" s="747" t="s">
        <v>328</v>
      </c>
      <c r="C108" s="769"/>
      <c r="D108" s="769"/>
      <c r="E108" s="747" t="s">
        <v>435</v>
      </c>
      <c r="F108" s="770"/>
      <c r="G108" s="749">
        <v>1</v>
      </c>
      <c r="H108" s="771"/>
      <c r="I108" s="771"/>
      <c r="J108" s="771"/>
    </row>
    <row r="109" spans="1:32" s="717" customFormat="1" ht="15" hidden="1" customHeight="1" x14ac:dyDescent="0.25">
      <c r="A109" s="2058"/>
      <c r="B109" s="747" t="s">
        <v>330</v>
      </c>
      <c r="C109" s="769"/>
      <c r="D109" s="769"/>
      <c r="E109" s="747" t="s">
        <v>331</v>
      </c>
      <c r="F109" s="770"/>
      <c r="G109" s="749"/>
      <c r="H109" s="771"/>
      <c r="I109" s="771"/>
      <c r="J109" s="771"/>
    </row>
    <row r="110" spans="1:32" s="717" customFormat="1" hidden="1" x14ac:dyDescent="0.25">
      <c r="A110" s="2058"/>
      <c r="B110" s="772" t="s">
        <v>332</v>
      </c>
      <c r="C110" s="773"/>
      <c r="D110" s="773"/>
      <c r="E110" s="772" t="s">
        <v>333</v>
      </c>
      <c r="F110" s="774"/>
      <c r="G110" s="775">
        <f>ROUND(PRODUCT(G105:G108),2)</f>
        <v>1.1000000000000001</v>
      </c>
      <c r="H110" s="776"/>
      <c r="I110" s="776"/>
      <c r="J110" s="776"/>
    </row>
    <row r="111" spans="1:32" s="717" customFormat="1" ht="16.5" hidden="1" customHeight="1" x14ac:dyDescent="0.25">
      <c r="A111" s="2058"/>
      <c r="B111" s="747" t="s">
        <v>334</v>
      </c>
      <c r="C111" s="769"/>
      <c r="D111" s="769"/>
      <c r="E111" s="747" t="s">
        <v>335</v>
      </c>
      <c r="F111" s="770"/>
      <c r="G111" s="749">
        <v>2</v>
      </c>
      <c r="H111" s="777"/>
      <c r="I111" s="777"/>
      <c r="J111" s="777"/>
    </row>
    <row r="112" spans="1:32" s="717" customFormat="1" ht="16.5" hidden="1" customHeight="1" x14ac:dyDescent="0.25">
      <c r="A112" s="2058"/>
      <c r="B112" s="778" t="s">
        <v>336</v>
      </c>
      <c r="C112" s="779"/>
      <c r="D112" s="779"/>
      <c r="E112" s="736"/>
      <c r="F112" s="751"/>
      <c r="G112" s="749"/>
      <c r="H112" s="736"/>
      <c r="I112" s="736"/>
      <c r="J112" s="736"/>
    </row>
    <row r="113" spans="1:12" s="717" customFormat="1" ht="15.75" hidden="1" customHeight="1" x14ac:dyDescent="0.25">
      <c r="A113" s="2058"/>
      <c r="B113" s="2085" t="s">
        <v>337</v>
      </c>
      <c r="C113" s="2086"/>
      <c r="D113" s="2087"/>
      <c r="E113" s="747" t="s">
        <v>338</v>
      </c>
      <c r="F113" s="770"/>
      <c r="G113" s="780">
        <v>6.0999999999999999E-2</v>
      </c>
      <c r="H113" s="736"/>
      <c r="I113" s="736"/>
      <c r="J113" s="736"/>
    </row>
    <row r="114" spans="1:12" s="717" customFormat="1" ht="16.5" hidden="1" customHeight="1" x14ac:dyDescent="0.25">
      <c r="A114" s="2058"/>
      <c r="B114" s="2085" t="s">
        <v>339</v>
      </c>
      <c r="C114" s="2086"/>
      <c r="D114" s="2087"/>
      <c r="E114" s="747" t="s">
        <v>340</v>
      </c>
      <c r="F114" s="770"/>
      <c r="G114" s="780">
        <f>0.189</f>
        <v>0.189</v>
      </c>
      <c r="H114" s="736"/>
      <c r="I114" s="736"/>
      <c r="J114" s="781"/>
    </row>
    <row r="115" spans="1:12" s="717" customFormat="1" ht="16.5" hidden="1" customHeight="1" x14ac:dyDescent="0.25">
      <c r="A115" s="2058"/>
      <c r="B115" s="2085" t="s">
        <v>341</v>
      </c>
      <c r="C115" s="2086"/>
      <c r="D115" s="2087"/>
      <c r="E115" s="747" t="s">
        <v>342</v>
      </c>
      <c r="F115" s="770"/>
      <c r="G115" s="780">
        <v>0.109</v>
      </c>
      <c r="H115" s="736"/>
      <c r="I115" s="736"/>
      <c r="J115" s="736"/>
    </row>
    <row r="116" spans="1:12" s="717" customFormat="1" ht="30.75" hidden="1" customHeight="1" x14ac:dyDescent="0.25">
      <c r="A116" s="2058"/>
      <c r="B116" s="2088" t="s">
        <v>343</v>
      </c>
      <c r="C116" s="2089"/>
      <c r="D116" s="2090"/>
      <c r="E116" s="747" t="s">
        <v>344</v>
      </c>
      <c r="F116" s="770"/>
      <c r="G116" s="780">
        <f>0.051*0</f>
        <v>0</v>
      </c>
      <c r="H116" s="736"/>
      <c r="I116" s="736"/>
      <c r="J116" s="736"/>
    </row>
    <row r="117" spans="1:12" s="717" customFormat="1" ht="15.75" hidden="1" customHeight="1" x14ac:dyDescent="0.25">
      <c r="A117" s="2058"/>
      <c r="B117" s="764" t="s">
        <v>345</v>
      </c>
      <c r="C117" s="782"/>
      <c r="D117" s="782"/>
      <c r="E117" s="747" t="s">
        <v>346</v>
      </c>
      <c r="F117" s="770"/>
      <c r="G117" s="780">
        <f>0.269*0</f>
        <v>0</v>
      </c>
      <c r="H117" s="736"/>
      <c r="I117" s="736"/>
      <c r="J117" s="736"/>
      <c r="K117" s="783"/>
    </row>
    <row r="118" spans="1:12" s="717" customFormat="1" ht="20.25" hidden="1" customHeight="1" x14ac:dyDescent="0.25">
      <c r="A118" s="2058"/>
      <c r="B118" s="764" t="s">
        <v>347</v>
      </c>
      <c r="C118" s="784"/>
      <c r="D118" s="784"/>
      <c r="E118" s="747" t="s">
        <v>348</v>
      </c>
      <c r="F118" s="748"/>
      <c r="G118" s="780">
        <f>0.043*0</f>
        <v>0</v>
      </c>
      <c r="H118" s="736"/>
      <c r="I118" s="736"/>
      <c r="J118" s="736"/>
    </row>
    <row r="119" spans="1:12" s="717" customFormat="1" ht="15.75" hidden="1" customHeight="1" x14ac:dyDescent="0.25">
      <c r="A119" s="2058"/>
      <c r="B119" s="764" t="s">
        <v>349</v>
      </c>
      <c r="C119" s="782"/>
      <c r="D119" s="782"/>
      <c r="E119" s="747" t="s">
        <v>350</v>
      </c>
      <c r="F119" s="770"/>
      <c r="G119" s="780">
        <f>0.08*0</f>
        <v>0</v>
      </c>
      <c r="H119" s="736"/>
      <c r="I119" s="736"/>
      <c r="J119" s="736"/>
      <c r="K119" s="783"/>
    </row>
    <row r="120" spans="1:12" s="783" customFormat="1" ht="16.5" hidden="1" customHeight="1" x14ac:dyDescent="0.3">
      <c r="A120" s="2058"/>
      <c r="B120" s="785" t="s">
        <v>351</v>
      </c>
      <c r="C120" s="785"/>
      <c r="D120" s="786"/>
      <c r="E120" s="747" t="s">
        <v>352</v>
      </c>
      <c r="F120" s="787"/>
      <c r="G120" s="780">
        <f>0.107*0</f>
        <v>0</v>
      </c>
      <c r="H120" s="788" t="s">
        <v>353</v>
      </c>
      <c r="I120" s="789"/>
      <c r="J120" s="789"/>
    </row>
    <row r="121" spans="1:12" s="717" customFormat="1" ht="16.5" hidden="1" customHeight="1" x14ac:dyDescent="0.25">
      <c r="A121" s="2058"/>
      <c r="B121" s="764" t="s">
        <v>354</v>
      </c>
      <c r="C121" s="782"/>
      <c r="D121" s="782"/>
      <c r="E121" s="747" t="s">
        <v>355</v>
      </c>
      <c r="F121" s="770"/>
      <c r="G121" s="780">
        <f>0.043*0</f>
        <v>0</v>
      </c>
      <c r="H121" s="736"/>
      <c r="I121" s="736"/>
      <c r="J121" s="736"/>
    </row>
    <row r="122" spans="1:12" s="717" customFormat="1" ht="16.5" hidden="1" customHeight="1" x14ac:dyDescent="0.25">
      <c r="A122" s="2058"/>
      <c r="B122" s="790" t="s">
        <v>356</v>
      </c>
      <c r="C122" s="784"/>
      <c r="D122" s="784"/>
      <c r="E122" s="747" t="s">
        <v>357</v>
      </c>
      <c r="F122" s="748"/>
      <c r="G122" s="780">
        <f>0.048*0</f>
        <v>0</v>
      </c>
      <c r="H122" s="736"/>
      <c r="I122" s="736"/>
      <c r="J122" s="736"/>
    </row>
    <row r="123" spans="1:12" s="717" customFormat="1" ht="16.5" hidden="1" customHeight="1" x14ac:dyDescent="0.25">
      <c r="A123" s="2058"/>
      <c r="B123" s="791" t="s">
        <v>332</v>
      </c>
      <c r="C123" s="746"/>
      <c r="D123" s="746"/>
      <c r="E123" s="791" t="s">
        <v>358</v>
      </c>
      <c r="F123" s="748"/>
      <c r="G123" s="792">
        <f>SUM(G113:G122)</f>
        <v>0.35899999999999999</v>
      </c>
      <c r="H123" s="776"/>
      <c r="I123" s="776"/>
      <c r="J123" s="776"/>
    </row>
    <row r="124" spans="1:12" s="717" customFormat="1" ht="16.5" hidden="1" customHeight="1" x14ac:dyDescent="0.25">
      <c r="A124" s="2058"/>
      <c r="B124" s="791" t="s">
        <v>359</v>
      </c>
      <c r="C124" s="746"/>
      <c r="D124" s="746"/>
      <c r="E124" s="745" t="s">
        <v>360</v>
      </c>
      <c r="F124" s="748"/>
      <c r="G124" s="793">
        <v>64.040000000000006</v>
      </c>
      <c r="H124" s="794"/>
      <c r="I124" s="794"/>
      <c r="J124" s="794"/>
    </row>
    <row r="125" spans="1:12" s="717" customFormat="1" ht="18.75" hidden="1" customHeight="1" x14ac:dyDescent="0.25">
      <c r="A125" s="2058"/>
      <c r="B125" s="795" t="s">
        <v>361</v>
      </c>
      <c r="C125" s="796"/>
      <c r="D125" s="796"/>
      <c r="E125" s="795" t="s">
        <v>362</v>
      </c>
      <c r="F125" s="797"/>
      <c r="G125" s="798">
        <v>1.1499999999999999</v>
      </c>
      <c r="H125" s="771"/>
      <c r="I125" s="771"/>
      <c r="J125" s="771"/>
      <c r="K125" s="783"/>
    </row>
    <row r="126" spans="1:12" s="717" customFormat="1" ht="18" hidden="1" customHeight="1" thickBot="1" x14ac:dyDescent="0.3">
      <c r="A126" s="2059"/>
      <c r="B126" s="799" t="s">
        <v>363</v>
      </c>
      <c r="C126" s="800"/>
      <c r="D126" s="800"/>
      <c r="E126" s="800"/>
      <c r="F126" s="801"/>
      <c r="G126" s="936">
        <f>ROUND((G101/100)*G110*G123*G124*G125,0)</f>
        <v>17329</v>
      </c>
      <c r="H126" s="803"/>
      <c r="I126" s="803"/>
      <c r="J126" s="803"/>
      <c r="K126" s="804"/>
      <c r="L126" s="805"/>
    </row>
    <row r="127" spans="1:12" s="717" customFormat="1" ht="16.5" hidden="1" customHeight="1" thickBot="1" x14ac:dyDescent="0.3">
      <c r="A127" s="806"/>
      <c r="B127" s="807" t="s">
        <v>364</v>
      </c>
      <c r="C127" s="808"/>
      <c r="D127" s="808"/>
      <c r="E127" s="808"/>
      <c r="F127" s="809"/>
      <c r="G127" s="810"/>
      <c r="H127" s="811"/>
      <c r="I127" s="811"/>
      <c r="J127" s="811"/>
      <c r="K127" s="805"/>
      <c r="L127" s="805"/>
    </row>
    <row r="128" spans="1:12" s="812" customFormat="1" ht="18.75" hidden="1" customHeight="1" x14ac:dyDescent="0.2">
      <c r="A128" s="2058"/>
      <c r="B128" s="757" t="s">
        <v>322</v>
      </c>
      <c r="C128" s="758"/>
      <c r="D128" s="758"/>
      <c r="E128" s="757" t="s">
        <v>323</v>
      </c>
      <c r="F128" s="759"/>
      <c r="G128" s="760">
        <f>G105</f>
        <v>1</v>
      </c>
      <c r="H128" s="763"/>
      <c r="I128" s="763"/>
      <c r="J128" s="763"/>
    </row>
    <row r="129" spans="1:11" s="812" customFormat="1" ht="18.75" hidden="1" customHeight="1" x14ac:dyDescent="0.2">
      <c r="A129" s="2058"/>
      <c r="B129" s="813" t="s">
        <v>324</v>
      </c>
      <c r="C129" s="814"/>
      <c r="D129" s="814"/>
      <c r="E129" s="813" t="s">
        <v>325</v>
      </c>
      <c r="F129" s="758"/>
      <c r="G129" s="815">
        <f>G106</f>
        <v>1</v>
      </c>
      <c r="H129" s="763"/>
      <c r="I129" s="763"/>
      <c r="J129" s="763"/>
    </row>
    <row r="130" spans="1:11" s="812" customFormat="1" ht="18.75" hidden="1" customHeight="1" x14ac:dyDescent="0.2">
      <c r="A130" s="2058"/>
      <c r="B130" s="816" t="s">
        <v>365</v>
      </c>
      <c r="C130" s="817"/>
      <c r="D130" s="817"/>
      <c r="E130" s="816" t="s">
        <v>327</v>
      </c>
      <c r="F130" s="818"/>
      <c r="G130" s="815">
        <f>G107</f>
        <v>1.1000000000000001</v>
      </c>
      <c r="H130" s="763"/>
      <c r="I130" s="763"/>
      <c r="J130" s="763"/>
    </row>
    <row r="131" spans="1:11" s="812" customFormat="1" ht="18.75" hidden="1" customHeight="1" x14ac:dyDescent="0.2">
      <c r="A131" s="2058"/>
      <c r="B131" s="813" t="s">
        <v>328</v>
      </c>
      <c r="C131" s="817"/>
      <c r="D131" s="814"/>
      <c r="E131" s="813" t="str">
        <f>E108</f>
        <v>т.2.2,п.5(е)</v>
      </c>
      <c r="F131" s="758"/>
      <c r="G131" s="815"/>
      <c r="H131" s="763"/>
      <c r="I131" s="763"/>
      <c r="J131" s="763"/>
    </row>
    <row r="132" spans="1:11" s="823" customFormat="1" ht="16.5" hidden="1" customHeight="1" x14ac:dyDescent="0.25">
      <c r="A132" s="2058"/>
      <c r="B132" s="819" t="s">
        <v>366</v>
      </c>
      <c r="C132" s="820"/>
      <c r="D132" s="820"/>
      <c r="E132" s="821" t="s">
        <v>367</v>
      </c>
      <c r="F132" s="822"/>
      <c r="G132" s="798"/>
      <c r="H132" s="771"/>
      <c r="I132" s="771"/>
      <c r="J132" s="771"/>
    </row>
    <row r="133" spans="1:11" s="812" customFormat="1" ht="18.75" hidden="1" customHeight="1" x14ac:dyDescent="0.2">
      <c r="A133" s="2058"/>
      <c r="B133" s="824" t="s">
        <v>332</v>
      </c>
      <c r="C133" s="825"/>
      <c r="D133" s="825"/>
      <c r="E133" s="824" t="s">
        <v>333</v>
      </c>
      <c r="F133" s="826"/>
      <c r="G133" s="827">
        <f>ROUND(PRODUCT(G128:G131),2)</f>
        <v>1.1000000000000001</v>
      </c>
      <c r="H133" s="763"/>
      <c r="I133" s="763"/>
      <c r="J133" s="763"/>
    </row>
    <row r="134" spans="1:11" s="762" customFormat="1" ht="18.75" hidden="1" customHeight="1" x14ac:dyDescent="0.2">
      <c r="A134" s="2058"/>
      <c r="B134" s="2060" t="s">
        <v>334</v>
      </c>
      <c r="C134" s="2061"/>
      <c r="D134" s="828"/>
      <c r="E134" s="829" t="s">
        <v>368</v>
      </c>
      <c r="F134" s="830"/>
      <c r="G134" s="831">
        <v>2</v>
      </c>
      <c r="H134" s="832"/>
      <c r="I134" s="832"/>
      <c r="J134" s="832"/>
    </row>
    <row r="135" spans="1:11" s="762" customFormat="1" ht="18.75" hidden="1" customHeight="1" x14ac:dyDescent="0.2">
      <c r="A135" s="2058"/>
      <c r="B135" s="833" t="s">
        <v>336</v>
      </c>
      <c r="C135" s="826"/>
      <c r="D135" s="826"/>
      <c r="E135" s="758"/>
      <c r="F135" s="759"/>
      <c r="G135" s="760"/>
      <c r="H135" s="761"/>
      <c r="I135" s="761"/>
      <c r="J135" s="761"/>
    </row>
    <row r="136" spans="1:11" s="762" customFormat="1" ht="28.5" hidden="1" customHeight="1" x14ac:dyDescent="0.2">
      <c r="A136" s="2058"/>
      <c r="B136" s="2062" t="s">
        <v>369</v>
      </c>
      <c r="C136" s="2063"/>
      <c r="D136" s="2063"/>
      <c r="E136" s="757" t="s">
        <v>370</v>
      </c>
      <c r="F136" s="759"/>
      <c r="G136" s="834">
        <f>0.03</f>
        <v>0.03</v>
      </c>
      <c r="H136" s="761"/>
      <c r="I136" s="761"/>
      <c r="J136" s="761"/>
    </row>
    <row r="137" spans="1:11" s="762" customFormat="1" ht="18.75" hidden="1" customHeight="1" x14ac:dyDescent="0.2">
      <c r="A137" s="2058"/>
      <c r="B137" s="2062" t="s">
        <v>337</v>
      </c>
      <c r="C137" s="2063"/>
      <c r="D137" s="2063"/>
      <c r="E137" s="757" t="s">
        <v>371</v>
      </c>
      <c r="F137" s="759"/>
      <c r="G137" s="834">
        <f>0.096</f>
        <v>9.6000000000000002E-2</v>
      </c>
      <c r="H137" s="835"/>
      <c r="I137" s="835"/>
      <c r="J137" s="835"/>
      <c r="K137" s="836"/>
    </row>
    <row r="138" spans="1:11" s="762" customFormat="1" ht="18.75" hidden="1" customHeight="1" x14ac:dyDescent="0.2">
      <c r="A138" s="2058"/>
      <c r="B138" s="757" t="s">
        <v>372</v>
      </c>
      <c r="C138" s="758"/>
      <c r="D138" s="758"/>
      <c r="E138" s="757" t="s">
        <v>373</v>
      </c>
      <c r="F138" s="759"/>
      <c r="G138" s="834">
        <f>0.296</f>
        <v>0.29599999999999999</v>
      </c>
      <c r="H138" s="835"/>
      <c r="I138" s="835"/>
      <c r="J138" s="835"/>
      <c r="K138" s="836"/>
    </row>
    <row r="139" spans="1:11" s="762" customFormat="1" ht="18.75" hidden="1" customHeight="1" x14ac:dyDescent="0.2">
      <c r="A139" s="2058"/>
      <c r="B139" s="757" t="s">
        <v>374</v>
      </c>
      <c r="C139" s="758"/>
      <c r="D139" s="758"/>
      <c r="E139" s="757" t="s">
        <v>375</v>
      </c>
      <c r="F139" s="759"/>
      <c r="G139" s="834">
        <f>0.346</f>
        <v>0.34599999999999997</v>
      </c>
      <c r="H139" s="835"/>
      <c r="I139" s="835"/>
      <c r="J139" s="835"/>
      <c r="K139" s="836"/>
    </row>
    <row r="140" spans="1:11" s="762" customFormat="1" ht="18.75" hidden="1" customHeight="1" x14ac:dyDescent="0.2">
      <c r="A140" s="2058"/>
      <c r="B140" s="757" t="s">
        <v>376</v>
      </c>
      <c r="C140" s="758"/>
      <c r="D140" s="758"/>
      <c r="E140" s="757" t="s">
        <v>377</v>
      </c>
      <c r="F140" s="759"/>
      <c r="G140" s="834">
        <v>0.10100000000000001</v>
      </c>
      <c r="H140" s="835"/>
      <c r="I140" s="835"/>
      <c r="J140" s="835"/>
    </row>
    <row r="141" spans="1:11" s="717" customFormat="1" ht="15.75" hidden="1" customHeight="1" x14ac:dyDescent="0.25">
      <c r="A141" s="2058"/>
      <c r="B141" s="747" t="s">
        <v>378</v>
      </c>
      <c r="C141" s="769"/>
      <c r="D141" s="769"/>
      <c r="E141" s="747" t="s">
        <v>379</v>
      </c>
      <c r="F141" s="748"/>
      <c r="G141" s="780">
        <f>0.091*0</f>
        <v>0</v>
      </c>
      <c r="H141" s="837"/>
      <c r="I141" s="837"/>
      <c r="J141" s="837"/>
    </row>
    <row r="142" spans="1:11" s="717" customFormat="1" ht="16.5" hidden="1" customHeight="1" x14ac:dyDescent="0.25">
      <c r="A142" s="2058"/>
      <c r="B142" s="2064" t="s">
        <v>380</v>
      </c>
      <c r="C142" s="2065"/>
      <c r="D142" s="2066"/>
      <c r="E142" s="747" t="s">
        <v>381</v>
      </c>
      <c r="F142" s="748"/>
      <c r="G142" s="780">
        <f>0.04*0</f>
        <v>0</v>
      </c>
      <c r="H142" s="837"/>
      <c r="I142" s="837"/>
      <c r="J142" s="837"/>
    </row>
    <row r="143" spans="1:11" s="762" customFormat="1" ht="18.75" hidden="1" customHeight="1" x14ac:dyDescent="0.2">
      <c r="A143" s="2058"/>
      <c r="B143" s="838" t="s">
        <v>332</v>
      </c>
      <c r="C143" s="839"/>
      <c r="D143" s="839"/>
      <c r="E143" s="838" t="s">
        <v>358</v>
      </c>
      <c r="F143" s="840"/>
      <c r="G143" s="841">
        <f>SUM(G136:G142)</f>
        <v>0.86899999999999999</v>
      </c>
      <c r="H143" s="842"/>
      <c r="I143" s="842"/>
      <c r="J143" s="842"/>
    </row>
    <row r="144" spans="1:11" s="762" customFormat="1" ht="18.75" hidden="1" customHeight="1" x14ac:dyDescent="0.2">
      <c r="A144" s="2058"/>
      <c r="B144" s="838" t="s">
        <v>382</v>
      </c>
      <c r="C144" s="839"/>
      <c r="D144" s="839"/>
      <c r="E144" s="843" t="s">
        <v>383</v>
      </c>
      <c r="F144" s="840"/>
      <c r="G144" s="844">
        <v>176.99</v>
      </c>
      <c r="H144" s="845"/>
      <c r="I144" s="845"/>
      <c r="J144" s="845"/>
    </row>
    <row r="145" spans="1:11" s="762" customFormat="1" ht="18.75" hidden="1" customHeight="1" x14ac:dyDescent="0.2">
      <c r="A145" s="2058"/>
      <c r="B145" s="757" t="s">
        <v>384</v>
      </c>
      <c r="C145" s="758"/>
      <c r="D145" s="758"/>
      <c r="E145" s="757" t="s">
        <v>385</v>
      </c>
      <c r="F145" s="759"/>
      <c r="G145" s="760"/>
      <c r="H145" s="763"/>
      <c r="I145" s="763"/>
      <c r="J145" s="763"/>
    </row>
    <row r="146" spans="1:11" s="762" customFormat="1" ht="18.75" hidden="1" customHeight="1" thickBot="1" x14ac:dyDescent="0.25">
      <c r="A146" s="2059"/>
      <c r="B146" s="846" t="s">
        <v>386</v>
      </c>
      <c r="C146" s="847"/>
      <c r="D146" s="847"/>
      <c r="E146" s="847"/>
      <c r="F146" s="848"/>
      <c r="G146" s="937">
        <f>ROUND((G101/100)*G143*G144*G133,0)</f>
        <v>100807</v>
      </c>
      <c r="H146" s="850"/>
      <c r="I146" s="850"/>
      <c r="J146" s="850"/>
      <c r="K146" s="851"/>
    </row>
    <row r="147" spans="1:11" s="717" customFormat="1" ht="16.5" hidden="1" customHeight="1" thickBot="1" x14ac:dyDescent="0.3">
      <c r="A147" s="806"/>
      <c r="B147" s="807" t="s">
        <v>387</v>
      </c>
      <c r="C147" s="808"/>
      <c r="D147" s="808"/>
      <c r="E147" s="852" t="str">
        <f>B133</f>
        <v>Общий коэффициент</v>
      </c>
      <c r="F147" s="853"/>
      <c r="G147" s="854">
        <f>G133</f>
        <v>1.1000000000000001</v>
      </c>
      <c r="H147" s="736"/>
      <c r="I147" s="736"/>
      <c r="J147" s="736"/>
    </row>
    <row r="148" spans="1:11" s="861" customFormat="1" ht="21" hidden="1" customHeight="1" x14ac:dyDescent="0.25">
      <c r="A148" s="2067">
        <v>3</v>
      </c>
      <c r="B148" s="855" t="s">
        <v>388</v>
      </c>
      <c r="C148" s="856"/>
      <c r="D148" s="856"/>
      <c r="E148" s="857" t="s">
        <v>389</v>
      </c>
      <c r="F148" s="858" t="s">
        <v>390</v>
      </c>
      <c r="G148" s="859">
        <v>15</v>
      </c>
      <c r="H148" s="860"/>
      <c r="I148" s="860"/>
      <c r="J148" s="860"/>
    </row>
    <row r="149" spans="1:11" s="861" customFormat="1" ht="19.5" hidden="1" customHeight="1" x14ac:dyDescent="0.25">
      <c r="A149" s="2058"/>
      <c r="B149" s="862" t="s">
        <v>391</v>
      </c>
      <c r="C149" s="863"/>
      <c r="D149" s="863"/>
      <c r="E149" s="864"/>
      <c r="F149" s="865" t="s">
        <v>392</v>
      </c>
      <c r="G149" s="866">
        <v>143.24</v>
      </c>
      <c r="H149" s="867"/>
      <c r="I149" s="867"/>
      <c r="J149" s="868"/>
    </row>
    <row r="150" spans="1:11" s="861" customFormat="1" ht="18.75" hidden="1" customHeight="1" x14ac:dyDescent="0.25">
      <c r="A150" s="2058"/>
      <c r="B150" s="869"/>
      <c r="C150" s="870"/>
      <c r="D150" s="870"/>
      <c r="E150" s="871"/>
      <c r="F150" s="872" t="s">
        <v>393</v>
      </c>
      <c r="G150" s="873">
        <f>ROUND(G148*G149,2)</f>
        <v>2148.6</v>
      </c>
      <c r="H150" s="867"/>
      <c r="I150" s="867"/>
      <c r="J150" s="867"/>
    </row>
    <row r="151" spans="1:11" s="717" customFormat="1" ht="16.5" hidden="1" customHeight="1" x14ac:dyDescent="0.25">
      <c r="A151" s="2058"/>
      <c r="B151" s="874" t="s">
        <v>394</v>
      </c>
      <c r="C151" s="736"/>
      <c r="D151" s="875"/>
      <c r="E151" s="876" t="s">
        <v>395</v>
      </c>
      <c r="F151" s="759" t="s">
        <v>396</v>
      </c>
      <c r="G151" s="877">
        <v>5</v>
      </c>
      <c r="H151" s="878"/>
      <c r="I151" s="878"/>
      <c r="J151" s="878"/>
    </row>
    <row r="152" spans="1:11" s="717" customFormat="1" ht="16.5" hidden="1" customHeight="1" x14ac:dyDescent="0.25">
      <c r="A152" s="2058"/>
      <c r="B152" s="879"/>
      <c r="C152" s="736"/>
      <c r="D152" s="736"/>
      <c r="E152" s="880"/>
      <c r="F152" s="840" t="s">
        <v>392</v>
      </c>
      <c r="G152" s="760">
        <v>251.2</v>
      </c>
      <c r="H152" s="771"/>
      <c r="I152" s="771"/>
      <c r="J152" s="771"/>
    </row>
    <row r="153" spans="1:11" s="717" customFormat="1" ht="16.5" hidden="1" customHeight="1" x14ac:dyDescent="0.25">
      <c r="A153" s="2058"/>
      <c r="B153" s="745"/>
      <c r="C153" s="746"/>
      <c r="D153" s="746"/>
      <c r="E153" s="881"/>
      <c r="F153" s="882" t="s">
        <v>393</v>
      </c>
      <c r="G153" s="873">
        <f>ROUND(G151*G152,2)</f>
        <v>1256</v>
      </c>
      <c r="H153" s="771"/>
      <c r="I153" s="771"/>
      <c r="J153" s="771"/>
    </row>
    <row r="154" spans="1:11" s="889" customFormat="1" ht="16.5" hidden="1" customHeight="1" x14ac:dyDescent="0.25">
      <c r="A154" s="2058"/>
      <c r="B154" s="883" t="s">
        <v>397</v>
      </c>
      <c r="C154" s="884"/>
      <c r="D154" s="884"/>
      <c r="E154" s="885" t="s">
        <v>398</v>
      </c>
      <c r="F154" s="886" t="s">
        <v>399</v>
      </c>
      <c r="G154" s="887">
        <v>0</v>
      </c>
      <c r="H154" s="888"/>
      <c r="I154" s="888"/>
      <c r="J154" s="888"/>
    </row>
    <row r="155" spans="1:11" s="889" customFormat="1" ht="16.5" hidden="1" customHeight="1" x14ac:dyDescent="0.25">
      <c r="A155" s="2058"/>
      <c r="B155" s="883" t="s">
        <v>400</v>
      </c>
      <c r="C155" s="884"/>
      <c r="D155" s="884"/>
      <c r="E155" s="885"/>
      <c r="F155" s="886" t="s">
        <v>392</v>
      </c>
      <c r="G155" s="890">
        <v>360.69</v>
      </c>
      <c r="H155" s="888"/>
      <c r="I155" s="888"/>
      <c r="J155" s="888"/>
    </row>
    <row r="156" spans="1:11" s="889" customFormat="1" ht="33" hidden="1" customHeight="1" x14ac:dyDescent="0.25">
      <c r="A156" s="2058"/>
      <c r="B156" s="891"/>
      <c r="C156" s="892"/>
      <c r="D156" s="884"/>
      <c r="E156" s="893" t="s">
        <v>401</v>
      </c>
      <c r="F156" s="886" t="s">
        <v>393</v>
      </c>
      <c r="G156" s="890">
        <f>ROUND(G154*G155*1.15,2)</f>
        <v>0</v>
      </c>
      <c r="H156" s="888"/>
      <c r="I156" s="888"/>
      <c r="J156" s="888"/>
    </row>
    <row r="157" spans="1:11" s="717" customFormat="1" ht="17.25" hidden="1" customHeight="1" x14ac:dyDescent="0.25">
      <c r="A157" s="2058"/>
      <c r="B157" s="2046" t="s">
        <v>436</v>
      </c>
      <c r="C157" s="2047"/>
      <c r="D157" s="2048"/>
      <c r="E157" s="894" t="s">
        <v>403</v>
      </c>
      <c r="F157" s="759" t="s">
        <v>404</v>
      </c>
      <c r="G157" s="877">
        <v>20</v>
      </c>
      <c r="H157" s="878"/>
      <c r="I157" s="878"/>
      <c r="J157" s="878"/>
    </row>
    <row r="158" spans="1:11" s="717" customFormat="1" ht="29.25" hidden="1" customHeight="1" x14ac:dyDescent="0.25">
      <c r="A158" s="2058"/>
      <c r="B158" s="2070"/>
      <c r="C158" s="2071"/>
      <c r="D158" s="2072"/>
      <c r="E158" s="895" t="s">
        <v>405</v>
      </c>
      <c r="F158" s="759" t="s">
        <v>406</v>
      </c>
      <c r="G158" s="760">
        <v>96.08</v>
      </c>
      <c r="H158" s="771"/>
      <c r="I158" s="771"/>
      <c r="J158" s="771"/>
    </row>
    <row r="159" spans="1:11" s="717" customFormat="1" ht="30" hidden="1" customHeight="1" x14ac:dyDescent="0.25">
      <c r="A159" s="2058"/>
      <c r="B159" s="2049"/>
      <c r="C159" s="2050"/>
      <c r="D159" s="2051"/>
      <c r="E159" s="896" t="str">
        <f>CONCATENATE(G157,"*",G158,"*1,15*",G147,"=")</f>
        <v>20*96,08*1,15*1,1=</v>
      </c>
      <c r="F159" s="897" t="s">
        <v>393</v>
      </c>
      <c r="G159" s="831">
        <f>ROUND(G157*G158*G147*1.15,2)</f>
        <v>2430.8200000000002</v>
      </c>
      <c r="H159" s="898" t="s">
        <v>407</v>
      </c>
      <c r="I159" s="771">
        <f>20*96.08*1.15*1.1</f>
        <v>2430.8240000000001</v>
      </c>
      <c r="J159" s="771"/>
    </row>
    <row r="160" spans="1:11" s="889" customFormat="1" ht="15.75" hidden="1" customHeight="1" x14ac:dyDescent="0.25">
      <c r="A160" s="2058"/>
      <c r="B160" s="899" t="s">
        <v>408</v>
      </c>
      <c r="C160" s="900"/>
      <c r="D160" s="901"/>
      <c r="E160" s="902" t="s">
        <v>409</v>
      </c>
      <c r="F160" s="903" t="s">
        <v>404</v>
      </c>
      <c r="G160" s="887">
        <v>0</v>
      </c>
      <c r="H160" s="888"/>
      <c r="I160" s="888"/>
      <c r="J160" s="888"/>
    </row>
    <row r="161" spans="1:10" s="889" customFormat="1" ht="15.75" hidden="1" customHeight="1" x14ac:dyDescent="0.25">
      <c r="A161" s="2058"/>
      <c r="B161" s="904" t="s">
        <v>410</v>
      </c>
      <c r="C161" s="905"/>
      <c r="D161" s="906"/>
      <c r="E161" s="902"/>
      <c r="F161" s="903" t="s">
        <v>411</v>
      </c>
      <c r="G161" s="890">
        <v>89.95</v>
      </c>
      <c r="H161" s="888"/>
      <c r="I161" s="888"/>
      <c r="J161" s="888"/>
    </row>
    <row r="162" spans="1:10" s="889" customFormat="1" ht="31.5" hidden="1" customHeight="1" x14ac:dyDescent="0.25">
      <c r="A162" s="2058"/>
      <c r="B162" s="907"/>
      <c r="C162" s="908"/>
      <c r="D162" s="886"/>
      <c r="E162" s="909" t="s">
        <v>412</v>
      </c>
      <c r="F162" s="886" t="s">
        <v>393</v>
      </c>
      <c r="G162" s="890">
        <f>ROUND(G160*G161*1.15,2)</f>
        <v>0</v>
      </c>
      <c r="H162" s="888"/>
      <c r="I162" s="888"/>
      <c r="J162" s="888"/>
    </row>
    <row r="163" spans="1:10" s="717" customFormat="1" ht="31.5" hidden="1" x14ac:dyDescent="0.25">
      <c r="A163" s="2058"/>
      <c r="B163" s="2046" t="s">
        <v>413</v>
      </c>
      <c r="C163" s="2047"/>
      <c r="D163" s="2048"/>
      <c r="E163" s="910" t="s">
        <v>414</v>
      </c>
      <c r="F163" s="911" t="s">
        <v>415</v>
      </c>
      <c r="G163" s="877">
        <v>3</v>
      </c>
      <c r="H163" s="878"/>
      <c r="I163" s="878"/>
      <c r="J163" s="878"/>
    </row>
    <row r="164" spans="1:10" s="717" customFormat="1" ht="34.5" hidden="1" customHeight="1" x14ac:dyDescent="0.25">
      <c r="A164" s="2058"/>
      <c r="B164" s="2070"/>
      <c r="C164" s="2071"/>
      <c r="D164" s="2072"/>
      <c r="E164" s="895" t="s">
        <v>405</v>
      </c>
      <c r="F164" s="840" t="s">
        <v>392</v>
      </c>
      <c r="G164" s="760">
        <v>72.45</v>
      </c>
      <c r="H164" s="771"/>
      <c r="I164" s="771"/>
      <c r="J164" s="771"/>
    </row>
    <row r="165" spans="1:10" s="717" customFormat="1" ht="29.25" hidden="1" customHeight="1" x14ac:dyDescent="0.25">
      <c r="A165" s="2058"/>
      <c r="B165" s="2049"/>
      <c r="C165" s="2050"/>
      <c r="D165" s="2051"/>
      <c r="E165" s="896" t="str">
        <f>CONCATENATE(G163,"*",G164,"*1,15*",G147,"=")</f>
        <v>3*72,45*1,15*1,1=</v>
      </c>
      <c r="F165" s="897" t="s">
        <v>393</v>
      </c>
      <c r="G165" s="831">
        <f>ROUND(G163*G164*G147*1.15,2)</f>
        <v>274.95</v>
      </c>
      <c r="H165" s="898" t="s">
        <v>407</v>
      </c>
      <c r="I165" s="771">
        <f>3*72.45*1.15*1.1</f>
        <v>274.94775000000004</v>
      </c>
      <c r="J165" s="771"/>
    </row>
    <row r="166" spans="1:10" s="889" customFormat="1" ht="17.25" hidden="1" customHeight="1" x14ac:dyDescent="0.25">
      <c r="A166" s="2068"/>
      <c r="B166" s="2073" t="s">
        <v>416</v>
      </c>
      <c r="C166" s="2074"/>
      <c r="D166" s="2075"/>
      <c r="E166" s="912" t="s">
        <v>417</v>
      </c>
      <c r="F166" s="913" t="s">
        <v>399</v>
      </c>
      <c r="G166" s="914">
        <v>0</v>
      </c>
      <c r="H166" s="888"/>
      <c r="I166" s="888"/>
      <c r="J166" s="888"/>
    </row>
    <row r="167" spans="1:10" s="889" customFormat="1" ht="35.25" hidden="1" customHeight="1" x14ac:dyDescent="0.25">
      <c r="A167" s="2068"/>
      <c r="B167" s="2076"/>
      <c r="C167" s="2077"/>
      <c r="D167" s="2078"/>
      <c r="E167" s="915" t="s">
        <v>401</v>
      </c>
      <c r="F167" s="916" t="s">
        <v>406</v>
      </c>
      <c r="G167" s="917">
        <v>119.13</v>
      </c>
      <c r="H167" s="888"/>
      <c r="I167" s="888"/>
      <c r="J167" s="888"/>
    </row>
    <row r="168" spans="1:10" s="889" customFormat="1" ht="21" hidden="1" customHeight="1" x14ac:dyDescent="0.25">
      <c r="A168" s="2068"/>
      <c r="B168" s="2079"/>
      <c r="C168" s="2080"/>
      <c r="D168" s="2081"/>
      <c r="E168" s="918" t="str">
        <f>CONCATENATE(G166,"*",G167,"*1,15*",G147,"=")</f>
        <v>0*119,13*1,15*1,1=</v>
      </c>
      <c r="F168" s="872" t="s">
        <v>393</v>
      </c>
      <c r="G168" s="919">
        <f>ROUND(G166*G167*G147*1.15,2)</f>
        <v>0</v>
      </c>
      <c r="H168" s="898" t="s">
        <v>407</v>
      </c>
      <c r="I168" s="888"/>
      <c r="J168" s="888"/>
    </row>
    <row r="169" spans="1:10" s="889" customFormat="1" ht="17.25" hidden="1" customHeight="1" x14ac:dyDescent="0.25">
      <c r="A169" s="2068"/>
      <c r="B169" s="2028" t="s">
        <v>418</v>
      </c>
      <c r="C169" s="2029"/>
      <c r="D169" s="2030"/>
      <c r="E169" s="920" t="s">
        <v>419</v>
      </c>
      <c r="F169" s="903" t="s">
        <v>399</v>
      </c>
      <c r="G169" s="921">
        <v>0</v>
      </c>
      <c r="H169" s="888"/>
      <c r="I169" s="888"/>
      <c r="J169" s="888"/>
    </row>
    <row r="170" spans="1:10" s="889" customFormat="1" ht="28.5" hidden="1" customHeight="1" x14ac:dyDescent="0.25">
      <c r="A170" s="2068"/>
      <c r="B170" s="2031"/>
      <c r="C170" s="2032"/>
      <c r="D170" s="2033"/>
      <c r="E170" s="893" t="s">
        <v>401</v>
      </c>
      <c r="F170" s="886" t="s">
        <v>406</v>
      </c>
      <c r="G170" s="922">
        <v>424.71</v>
      </c>
      <c r="H170" s="888"/>
      <c r="I170" s="888"/>
      <c r="J170" s="888"/>
    </row>
    <row r="171" spans="1:10" s="889" customFormat="1" ht="30" hidden="1" customHeight="1" x14ac:dyDescent="0.25">
      <c r="A171" s="2068"/>
      <c r="B171" s="2034"/>
      <c r="C171" s="2035"/>
      <c r="D171" s="2036"/>
      <c r="E171" s="923" t="str">
        <f>CONCATENATE(G169,"*",G170,"*",G147,"=")</f>
        <v>0*424,71*1,1=</v>
      </c>
      <c r="F171" s="886" t="s">
        <v>393</v>
      </c>
      <c r="G171" s="890">
        <f>ROUND(G169*G170*1.15,2)</f>
        <v>0</v>
      </c>
      <c r="H171" s="888"/>
      <c r="I171" s="888"/>
      <c r="J171" s="888"/>
    </row>
    <row r="172" spans="1:10" s="889" customFormat="1" ht="17.25" hidden="1" customHeight="1" x14ac:dyDescent="0.25">
      <c r="A172" s="2068"/>
      <c r="B172" s="2028" t="s">
        <v>420</v>
      </c>
      <c r="C172" s="2029"/>
      <c r="D172" s="2030"/>
      <c r="E172" s="920" t="s">
        <v>421</v>
      </c>
      <c r="F172" s="903" t="s">
        <v>422</v>
      </c>
      <c r="G172" s="921">
        <v>0</v>
      </c>
      <c r="H172" s="888"/>
      <c r="I172" s="888"/>
      <c r="J172" s="888"/>
    </row>
    <row r="173" spans="1:10" s="889" customFormat="1" ht="31.5" hidden="1" customHeight="1" x14ac:dyDescent="0.25">
      <c r="A173" s="2068"/>
      <c r="B173" s="2031"/>
      <c r="C173" s="2032"/>
      <c r="D173" s="2033"/>
      <c r="E173" s="893" t="s">
        <v>401</v>
      </c>
      <c r="F173" s="886" t="s">
        <v>392</v>
      </c>
      <c r="G173" s="922">
        <v>509.65</v>
      </c>
      <c r="H173" s="888"/>
      <c r="I173" s="888"/>
      <c r="J173" s="888"/>
    </row>
    <row r="174" spans="1:10" s="889" customFormat="1" ht="29.25" hidden="1" customHeight="1" x14ac:dyDescent="0.25">
      <c r="A174" s="2068"/>
      <c r="B174" s="2034"/>
      <c r="C174" s="2035"/>
      <c r="D174" s="2036"/>
      <c r="E174" s="923" t="str">
        <f>CONCATENATE(G172,"*",G173,"*",G147,"=")</f>
        <v>0*509,65*1,1=</v>
      </c>
      <c r="F174" s="886" t="s">
        <v>393</v>
      </c>
      <c r="G174" s="890">
        <f>ROUND(G172*G173*1.15,2)</f>
        <v>0</v>
      </c>
      <c r="H174" s="888"/>
      <c r="I174" s="888"/>
      <c r="J174" s="888"/>
    </row>
    <row r="175" spans="1:10" s="889" customFormat="1" ht="17.25" hidden="1" customHeight="1" x14ac:dyDescent="0.25">
      <c r="A175" s="2068"/>
      <c r="B175" s="2037" t="s">
        <v>423</v>
      </c>
      <c r="C175" s="2038"/>
      <c r="D175" s="2039"/>
      <c r="E175" s="912" t="s">
        <v>424</v>
      </c>
      <c r="F175" s="913" t="s">
        <v>399</v>
      </c>
      <c r="G175" s="914">
        <v>0</v>
      </c>
      <c r="H175" s="888"/>
      <c r="I175" s="888"/>
      <c r="J175" s="888"/>
    </row>
    <row r="176" spans="1:10" s="889" customFormat="1" ht="31.5" hidden="1" x14ac:dyDescent="0.25">
      <c r="A176" s="2068"/>
      <c r="B176" s="2040"/>
      <c r="C176" s="2041"/>
      <c r="D176" s="2042"/>
      <c r="E176" s="915" t="s">
        <v>401</v>
      </c>
      <c r="F176" s="916" t="s">
        <v>406</v>
      </c>
      <c r="G176" s="917">
        <v>503.65</v>
      </c>
      <c r="H176" s="888"/>
      <c r="I176" s="888"/>
      <c r="J176" s="888"/>
    </row>
    <row r="177" spans="1:32" s="889" customFormat="1" ht="21" hidden="1" customHeight="1" x14ac:dyDescent="0.25">
      <c r="A177" s="2068"/>
      <c r="B177" s="2043"/>
      <c r="C177" s="2044"/>
      <c r="D177" s="2045"/>
      <c r="E177" s="918" t="str">
        <f>CONCATENATE(G175,"*",G176,"*1,15*",G147,"=")</f>
        <v>0*503,65*1,15*1,1=</v>
      </c>
      <c r="F177" s="872" t="s">
        <v>393</v>
      </c>
      <c r="G177" s="919">
        <f>ROUND(G175*G176*G147*1.15,0)</f>
        <v>0</v>
      </c>
      <c r="H177" s="898" t="s">
        <v>407</v>
      </c>
      <c r="I177" s="888"/>
      <c r="J177" s="888"/>
    </row>
    <row r="178" spans="1:32" s="762" customFormat="1" ht="23.25" hidden="1" customHeight="1" x14ac:dyDescent="0.2">
      <c r="A178" s="2068"/>
      <c r="B178" s="757" t="s">
        <v>425</v>
      </c>
      <c r="C178" s="758"/>
      <c r="D178" s="759"/>
      <c r="E178" s="924" t="s">
        <v>426</v>
      </c>
      <c r="F178" s="925" t="s">
        <v>427</v>
      </c>
      <c r="G178" s="926">
        <f>6923*0</f>
        <v>0</v>
      </c>
      <c r="H178" s="763"/>
      <c r="I178" s="763"/>
      <c r="J178" s="763"/>
    </row>
    <row r="179" spans="1:32" s="717" customFormat="1" ht="17.25" hidden="1" customHeight="1" x14ac:dyDescent="0.25">
      <c r="A179" s="2068"/>
      <c r="B179" s="2046" t="s">
        <v>428</v>
      </c>
      <c r="C179" s="2047"/>
      <c r="D179" s="2048"/>
      <c r="E179" s="2052" t="s">
        <v>429</v>
      </c>
      <c r="F179" s="2054" t="s">
        <v>430</v>
      </c>
      <c r="G179" s="2056">
        <f>5161</f>
        <v>5161</v>
      </c>
      <c r="H179" s="771"/>
      <c r="I179" s="771"/>
      <c r="J179" s="771"/>
    </row>
    <row r="180" spans="1:32" s="717" customFormat="1" ht="17.25" hidden="1" customHeight="1" x14ac:dyDescent="0.25">
      <c r="A180" s="2068"/>
      <c r="B180" s="2049"/>
      <c r="C180" s="2050"/>
      <c r="D180" s="2051"/>
      <c r="E180" s="2053"/>
      <c r="F180" s="2055"/>
      <c r="G180" s="2057"/>
      <c r="H180" s="771"/>
      <c r="I180" s="771"/>
      <c r="J180" s="771"/>
    </row>
    <row r="181" spans="1:32" s="929" customFormat="1" ht="17.25" hidden="1" customHeight="1" x14ac:dyDescent="0.25">
      <c r="A181" s="2068"/>
      <c r="B181" s="750" t="s">
        <v>431</v>
      </c>
      <c r="C181" s="777"/>
      <c r="D181" s="777"/>
      <c r="E181" s="777"/>
      <c r="F181" s="927"/>
      <c r="G181" s="928">
        <f>G150+G153+G156+G159+G162+G165+G168+G171+G174+G177+G178+G179</f>
        <v>11271.369999999999</v>
      </c>
      <c r="H181" s="794">
        <f>G179+G178+G177+G168+G165+G159+G153+G150</f>
        <v>11271.37</v>
      </c>
      <c r="I181" s="794"/>
      <c r="J181" s="794"/>
    </row>
    <row r="182" spans="1:32" s="717" customFormat="1" ht="24.75" hidden="1" customHeight="1" thickBot="1" x14ac:dyDescent="0.3">
      <c r="A182" s="2069"/>
      <c r="B182" s="930" t="s">
        <v>432</v>
      </c>
      <c r="C182" s="875"/>
      <c r="D182" s="875"/>
      <c r="E182" s="875" t="s">
        <v>433</v>
      </c>
      <c r="F182" s="830" t="s">
        <v>434</v>
      </c>
      <c r="G182" s="931">
        <f>4560*0</f>
        <v>0</v>
      </c>
      <c r="H182" s="771"/>
      <c r="I182" s="771"/>
      <c r="J182" s="771"/>
    </row>
    <row r="183" spans="1:32" s="709" customFormat="1" ht="39" hidden="1" customHeight="1" thickBot="1" x14ac:dyDescent="0.3">
      <c r="A183" s="806"/>
      <c r="B183" s="2026" t="str">
        <f>CONCATENATE("Итого обследование здания в базовых ценах по адресу: ",D97)</f>
        <v xml:space="preserve">Итого обследование здания в базовых ценах по адресу: </v>
      </c>
      <c r="C183" s="2027"/>
      <c r="D183" s="2027"/>
      <c r="E183" s="932"/>
      <c r="F183" s="933"/>
      <c r="G183" s="934">
        <f>SUM(G146,G126,G181,G182,G171,)*0</f>
        <v>0</v>
      </c>
      <c r="H183" s="935"/>
      <c r="S183" s="706"/>
      <c r="T183" s="706"/>
      <c r="U183" s="706"/>
      <c r="V183" s="706"/>
      <c r="W183" s="706"/>
      <c r="X183" s="706"/>
      <c r="Y183" s="706"/>
      <c r="Z183" s="706"/>
      <c r="AA183" s="706"/>
      <c r="AB183" s="706"/>
      <c r="AC183" s="706"/>
      <c r="AD183" s="706"/>
      <c r="AE183" s="706"/>
      <c r="AF183" s="706"/>
    </row>
    <row r="184" spans="1:32" s="944" customFormat="1" ht="23.25" customHeight="1" thickBot="1" x14ac:dyDescent="0.25">
      <c r="A184" s="938"/>
      <c r="B184" s="939" t="s">
        <v>561</v>
      </c>
      <c r="C184" s="940"/>
      <c r="D184" s="940"/>
      <c r="E184" s="940"/>
      <c r="F184" s="941"/>
      <c r="G184" s="942">
        <f>G183+G96</f>
        <v>10179.35</v>
      </c>
      <c r="H184" s="943"/>
      <c r="I184" s="943"/>
      <c r="J184" s="943"/>
    </row>
    <row r="185" spans="1:32" s="709" customFormat="1" x14ac:dyDescent="0.25">
      <c r="A185" s="706"/>
      <c r="B185" s="706"/>
      <c r="C185" s="707"/>
      <c r="D185" s="707"/>
      <c r="E185" s="945"/>
      <c r="F185" s="706"/>
      <c r="G185" s="946"/>
      <c r="S185" s="706"/>
      <c r="T185" s="706"/>
      <c r="U185" s="706"/>
      <c r="V185" s="706"/>
      <c r="W185" s="706"/>
      <c r="X185" s="706"/>
      <c r="Y185" s="706"/>
      <c r="Z185" s="706"/>
      <c r="AA185" s="706"/>
      <c r="AB185" s="706"/>
      <c r="AC185" s="706"/>
      <c r="AD185" s="706"/>
      <c r="AE185" s="706"/>
      <c r="AF185" s="706"/>
    </row>
    <row r="186" spans="1:32" s="709" customFormat="1" x14ac:dyDescent="0.25">
      <c r="A186" s="706"/>
      <c r="B186" s="706"/>
      <c r="C186" s="707"/>
      <c r="D186" s="707"/>
      <c r="E186" s="945"/>
      <c r="F186" s="706"/>
      <c r="G186" s="946"/>
      <c r="S186" s="706"/>
      <c r="T186" s="706"/>
      <c r="U186" s="706"/>
      <c r="V186" s="706"/>
      <c r="W186" s="706"/>
      <c r="X186" s="706"/>
      <c r="Y186" s="706"/>
      <c r="Z186" s="706"/>
      <c r="AA186" s="706"/>
      <c r="AB186" s="706"/>
      <c r="AC186" s="706"/>
      <c r="AD186" s="706"/>
      <c r="AE186" s="706"/>
      <c r="AF186" s="706"/>
    </row>
    <row r="187" spans="1:32" s="709" customFormat="1" x14ac:dyDescent="0.25">
      <c r="A187" s="706"/>
      <c r="B187" s="706"/>
      <c r="C187" s="707"/>
      <c r="D187" s="707"/>
      <c r="E187" s="945"/>
      <c r="F187" s="706"/>
      <c r="G187" s="946"/>
      <c r="S187" s="706"/>
      <c r="T187" s="706"/>
      <c r="U187" s="706"/>
      <c r="V187" s="706"/>
      <c r="W187" s="706"/>
      <c r="X187" s="706"/>
      <c r="Y187" s="706"/>
      <c r="Z187" s="706"/>
      <c r="AA187" s="706"/>
      <c r="AB187" s="706"/>
      <c r="AC187" s="706"/>
      <c r="AD187" s="706"/>
      <c r="AE187" s="706"/>
      <c r="AF187" s="706"/>
    </row>
    <row r="188" spans="1:32" s="709" customFormat="1" x14ac:dyDescent="0.25">
      <c r="A188" s="706"/>
      <c r="B188" s="706"/>
      <c r="C188" s="707"/>
      <c r="D188" s="706"/>
      <c r="E188" s="947"/>
      <c r="F188" s="948"/>
      <c r="G188" s="949"/>
      <c r="K188" s="950"/>
      <c r="L188" s="950"/>
      <c r="M188" s="950"/>
      <c r="N188" s="950"/>
      <c r="O188" s="950"/>
      <c r="P188" s="950"/>
      <c r="S188" s="706"/>
      <c r="T188" s="706"/>
      <c r="U188" s="706"/>
      <c r="V188" s="706"/>
      <c r="W188" s="706"/>
      <c r="X188" s="706"/>
      <c r="Y188" s="706"/>
      <c r="Z188" s="706"/>
      <c r="AA188" s="706"/>
      <c r="AB188" s="706"/>
      <c r="AC188" s="706"/>
      <c r="AD188" s="706"/>
      <c r="AE188" s="706"/>
      <c r="AF188" s="706"/>
    </row>
    <row r="189" spans="1:32" s="709" customFormat="1" x14ac:dyDescent="0.25">
      <c r="A189" s="706"/>
      <c r="B189" s="706"/>
      <c r="C189" s="707"/>
      <c r="D189" s="706"/>
      <c r="E189" s="947"/>
      <c r="F189" s="948"/>
      <c r="G189" s="949"/>
      <c r="K189" s="950"/>
      <c r="L189" s="950"/>
      <c r="M189" s="950"/>
      <c r="N189" s="950"/>
      <c r="O189" s="950"/>
      <c r="P189" s="950"/>
      <c r="S189" s="706"/>
      <c r="T189" s="706"/>
      <c r="U189" s="706"/>
      <c r="V189" s="706"/>
      <c r="W189" s="706"/>
      <c r="X189" s="706"/>
      <c r="Y189" s="706"/>
      <c r="Z189" s="706"/>
      <c r="AA189" s="706"/>
      <c r="AB189" s="706"/>
      <c r="AC189" s="706"/>
      <c r="AD189" s="706"/>
      <c r="AE189" s="706"/>
      <c r="AF189" s="706"/>
    </row>
    <row r="190" spans="1:32" s="709" customFormat="1" x14ac:dyDescent="0.25">
      <c r="A190" s="706"/>
      <c r="B190" s="706"/>
      <c r="C190" s="707"/>
      <c r="D190" s="706"/>
      <c r="E190" s="951"/>
      <c r="F190" s="948"/>
      <c r="G190" s="952"/>
      <c r="K190" s="950"/>
      <c r="L190" s="950"/>
      <c r="M190" s="950"/>
      <c r="N190" s="950"/>
      <c r="O190" s="950"/>
      <c r="P190" s="950"/>
      <c r="S190" s="706"/>
      <c r="T190" s="706"/>
      <c r="U190" s="706"/>
      <c r="V190" s="706"/>
      <c r="W190" s="706"/>
      <c r="X190" s="706"/>
      <c r="Y190" s="706"/>
      <c r="Z190" s="706"/>
      <c r="AA190" s="706"/>
      <c r="AB190" s="706"/>
      <c r="AC190" s="706"/>
      <c r="AD190" s="706"/>
      <c r="AE190" s="706"/>
      <c r="AF190" s="706"/>
    </row>
    <row r="191" spans="1:32" s="709" customFormat="1" x14ac:dyDescent="0.25">
      <c r="A191" s="706"/>
      <c r="B191" s="706"/>
      <c r="C191" s="707"/>
      <c r="D191" s="706"/>
      <c r="E191" s="706"/>
      <c r="F191" s="953"/>
      <c r="G191" s="953"/>
      <c r="K191" s="950"/>
      <c r="L191" s="950"/>
      <c r="M191" s="950"/>
      <c r="N191" s="950"/>
      <c r="O191" s="950"/>
      <c r="P191" s="954"/>
      <c r="S191" s="706"/>
      <c r="T191" s="706"/>
      <c r="U191" s="706"/>
      <c r="V191" s="706"/>
      <c r="W191" s="706"/>
      <c r="X191" s="706"/>
      <c r="Y191" s="706"/>
      <c r="Z191" s="706"/>
      <c r="AA191" s="706"/>
      <c r="AB191" s="706"/>
      <c r="AC191" s="706"/>
      <c r="AD191" s="706"/>
      <c r="AE191" s="706"/>
      <c r="AF191" s="706"/>
    </row>
    <row r="192" spans="1:32" s="709" customFormat="1" x14ac:dyDescent="0.25">
      <c r="A192" s="706"/>
      <c r="B192" s="706"/>
      <c r="C192" s="707"/>
      <c r="D192" s="706"/>
      <c r="E192" s="955"/>
      <c r="F192" s="949"/>
      <c r="G192" s="949"/>
      <c r="K192" s="706"/>
      <c r="L192" s="706"/>
      <c r="M192" s="706"/>
      <c r="N192" s="706"/>
      <c r="O192" s="706"/>
      <c r="P192" s="706"/>
      <c r="S192" s="706"/>
      <c r="T192" s="706"/>
      <c r="U192" s="706"/>
      <c r="V192" s="706"/>
      <c r="W192" s="706"/>
      <c r="X192" s="706"/>
      <c r="Y192" s="706"/>
      <c r="Z192" s="706"/>
      <c r="AA192" s="706"/>
      <c r="AB192" s="706"/>
      <c r="AC192" s="706"/>
      <c r="AD192" s="706"/>
      <c r="AE192" s="706"/>
      <c r="AF192" s="706"/>
    </row>
  </sheetData>
  <mergeCells count="54">
    <mergeCell ref="B8:G8"/>
    <mergeCell ref="A4:G4"/>
    <mergeCell ref="A5:G5"/>
    <mergeCell ref="Z5:AF5"/>
    <mergeCell ref="A6:G6"/>
    <mergeCell ref="A7:G7"/>
    <mergeCell ref="B9:C9"/>
    <mergeCell ref="E9:F9"/>
    <mergeCell ref="A12:A39"/>
    <mergeCell ref="B20:D20"/>
    <mergeCell ref="B26:D26"/>
    <mergeCell ref="B27:D27"/>
    <mergeCell ref="B28:D28"/>
    <mergeCell ref="B29:D29"/>
    <mergeCell ref="G92:G93"/>
    <mergeCell ref="A41:A59"/>
    <mergeCell ref="B47:C47"/>
    <mergeCell ref="B49:D49"/>
    <mergeCell ref="B50:D50"/>
    <mergeCell ref="B55:D55"/>
    <mergeCell ref="A61:A95"/>
    <mergeCell ref="B70:D72"/>
    <mergeCell ref="B76:D78"/>
    <mergeCell ref="B79:D81"/>
    <mergeCell ref="B82:D84"/>
    <mergeCell ref="B85:D87"/>
    <mergeCell ref="B88:D90"/>
    <mergeCell ref="B92:D93"/>
    <mergeCell ref="E92:E93"/>
    <mergeCell ref="F92:F93"/>
    <mergeCell ref="B96:D96"/>
    <mergeCell ref="A99:A126"/>
    <mergeCell ref="B107:D107"/>
    <mergeCell ref="B113:D113"/>
    <mergeCell ref="B114:D114"/>
    <mergeCell ref="B115:D115"/>
    <mergeCell ref="B116:D116"/>
    <mergeCell ref="F179:F180"/>
    <mergeCell ref="G179:G180"/>
    <mergeCell ref="A128:A146"/>
    <mergeCell ref="B134:C134"/>
    <mergeCell ref="B136:D136"/>
    <mergeCell ref="B137:D137"/>
    <mergeCell ref="B142:D142"/>
    <mergeCell ref="A148:A182"/>
    <mergeCell ref="B157:D159"/>
    <mergeCell ref="B163:D165"/>
    <mergeCell ref="B166:D168"/>
    <mergeCell ref="B169:D171"/>
    <mergeCell ref="B183:D183"/>
    <mergeCell ref="B172:D174"/>
    <mergeCell ref="B175:D177"/>
    <mergeCell ref="B179:D180"/>
    <mergeCell ref="E179:E180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3" fitToHeight="21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G71"/>
  <sheetViews>
    <sheetView view="pageBreakPreview" topLeftCell="A31" zoomScale="90" zoomScaleNormal="100" zoomScaleSheetLayoutView="90" workbookViewId="0">
      <selection activeCell="M34" sqref="M34"/>
    </sheetView>
  </sheetViews>
  <sheetFormatPr defaultRowHeight="12.75" x14ac:dyDescent="0.2"/>
  <cols>
    <col min="1" max="1" width="0.85546875" style="965" customWidth="1"/>
    <col min="2" max="2" width="3.5703125" style="965" customWidth="1"/>
    <col min="3" max="4" width="9.140625" style="965"/>
    <col min="5" max="5" width="22.42578125" style="965" customWidth="1"/>
    <col min="6" max="6" width="23.140625" style="965" customWidth="1"/>
    <col min="7" max="8" width="7.85546875" style="965" customWidth="1"/>
    <col min="9" max="9" width="8.42578125" style="965" customWidth="1"/>
    <col min="10" max="10" width="16.42578125" style="965" customWidth="1"/>
    <col min="11" max="11" width="14.28515625" style="965" customWidth="1"/>
    <col min="12" max="12" width="9.85546875" style="965" customWidth="1"/>
    <col min="13" max="13" width="10.5703125" style="965" bestFit="1" customWidth="1"/>
    <col min="14" max="256" width="9.140625" style="965"/>
    <col min="257" max="257" width="0.85546875" style="965" customWidth="1"/>
    <col min="258" max="258" width="3.5703125" style="965" customWidth="1"/>
    <col min="259" max="260" width="9.140625" style="965"/>
    <col min="261" max="261" width="22.42578125" style="965" customWidth="1"/>
    <col min="262" max="262" width="23.140625" style="965" customWidth="1"/>
    <col min="263" max="264" width="7.85546875" style="965" customWidth="1"/>
    <col min="265" max="265" width="8.42578125" style="965" customWidth="1"/>
    <col min="266" max="266" width="16.42578125" style="965" customWidth="1"/>
    <col min="267" max="267" width="14.28515625" style="965" customWidth="1"/>
    <col min="268" max="268" width="9.85546875" style="965" customWidth="1"/>
    <col min="269" max="269" width="10.5703125" style="965" bestFit="1" customWidth="1"/>
    <col min="270" max="512" width="9.140625" style="965"/>
    <col min="513" max="513" width="0.85546875" style="965" customWidth="1"/>
    <col min="514" max="514" width="3.5703125" style="965" customWidth="1"/>
    <col min="515" max="516" width="9.140625" style="965"/>
    <col min="517" max="517" width="22.42578125" style="965" customWidth="1"/>
    <col min="518" max="518" width="23.140625" style="965" customWidth="1"/>
    <col min="519" max="520" width="7.85546875" style="965" customWidth="1"/>
    <col min="521" max="521" width="8.42578125" style="965" customWidth="1"/>
    <col min="522" max="522" width="16.42578125" style="965" customWidth="1"/>
    <col min="523" max="523" width="14.28515625" style="965" customWidth="1"/>
    <col min="524" max="524" width="9.85546875" style="965" customWidth="1"/>
    <col min="525" max="525" width="10.5703125" style="965" bestFit="1" customWidth="1"/>
    <col min="526" max="768" width="9.140625" style="965"/>
    <col min="769" max="769" width="0.85546875" style="965" customWidth="1"/>
    <col min="770" max="770" width="3.5703125" style="965" customWidth="1"/>
    <col min="771" max="772" width="9.140625" style="965"/>
    <col min="773" max="773" width="22.42578125" style="965" customWidth="1"/>
    <col min="774" max="774" width="23.140625" style="965" customWidth="1"/>
    <col min="775" max="776" width="7.85546875" style="965" customWidth="1"/>
    <col min="777" max="777" width="8.42578125" style="965" customWidth="1"/>
    <col min="778" max="778" width="16.42578125" style="965" customWidth="1"/>
    <col min="779" max="779" width="14.28515625" style="965" customWidth="1"/>
    <col min="780" max="780" width="9.85546875" style="965" customWidth="1"/>
    <col min="781" max="781" width="10.5703125" style="965" bestFit="1" customWidth="1"/>
    <col min="782" max="1024" width="9.140625" style="965"/>
    <col min="1025" max="1025" width="0.85546875" style="965" customWidth="1"/>
    <col min="1026" max="1026" width="3.5703125" style="965" customWidth="1"/>
    <col min="1027" max="1028" width="9.140625" style="965"/>
    <col min="1029" max="1029" width="22.42578125" style="965" customWidth="1"/>
    <col min="1030" max="1030" width="23.140625" style="965" customWidth="1"/>
    <col min="1031" max="1032" width="7.85546875" style="965" customWidth="1"/>
    <col min="1033" max="1033" width="8.42578125" style="965" customWidth="1"/>
    <col min="1034" max="1034" width="16.42578125" style="965" customWidth="1"/>
    <col min="1035" max="1035" width="14.28515625" style="965" customWidth="1"/>
    <col min="1036" max="1036" width="9.85546875" style="965" customWidth="1"/>
    <col min="1037" max="1037" width="10.5703125" style="965" bestFit="1" customWidth="1"/>
    <col min="1038" max="1280" width="9.140625" style="965"/>
    <col min="1281" max="1281" width="0.85546875" style="965" customWidth="1"/>
    <col min="1282" max="1282" width="3.5703125" style="965" customWidth="1"/>
    <col min="1283" max="1284" width="9.140625" style="965"/>
    <col min="1285" max="1285" width="22.42578125" style="965" customWidth="1"/>
    <col min="1286" max="1286" width="23.140625" style="965" customWidth="1"/>
    <col min="1287" max="1288" width="7.85546875" style="965" customWidth="1"/>
    <col min="1289" max="1289" width="8.42578125" style="965" customWidth="1"/>
    <col min="1290" max="1290" width="16.42578125" style="965" customWidth="1"/>
    <col min="1291" max="1291" width="14.28515625" style="965" customWidth="1"/>
    <col min="1292" max="1292" width="9.85546875" style="965" customWidth="1"/>
    <col min="1293" max="1293" width="10.5703125" style="965" bestFit="1" customWidth="1"/>
    <col min="1294" max="1536" width="9.140625" style="965"/>
    <col min="1537" max="1537" width="0.85546875" style="965" customWidth="1"/>
    <col min="1538" max="1538" width="3.5703125" style="965" customWidth="1"/>
    <col min="1539" max="1540" width="9.140625" style="965"/>
    <col min="1541" max="1541" width="22.42578125" style="965" customWidth="1"/>
    <col min="1542" max="1542" width="23.140625" style="965" customWidth="1"/>
    <col min="1543" max="1544" width="7.85546875" style="965" customWidth="1"/>
    <col min="1545" max="1545" width="8.42578125" style="965" customWidth="1"/>
    <col min="1546" max="1546" width="16.42578125" style="965" customWidth="1"/>
    <col min="1547" max="1547" width="14.28515625" style="965" customWidth="1"/>
    <col min="1548" max="1548" width="9.85546875" style="965" customWidth="1"/>
    <col min="1549" max="1549" width="10.5703125" style="965" bestFit="1" customWidth="1"/>
    <col min="1550" max="1792" width="9.140625" style="965"/>
    <col min="1793" max="1793" width="0.85546875" style="965" customWidth="1"/>
    <col min="1794" max="1794" width="3.5703125" style="965" customWidth="1"/>
    <col min="1795" max="1796" width="9.140625" style="965"/>
    <col min="1797" max="1797" width="22.42578125" style="965" customWidth="1"/>
    <col min="1798" max="1798" width="23.140625" style="965" customWidth="1"/>
    <col min="1799" max="1800" width="7.85546875" style="965" customWidth="1"/>
    <col min="1801" max="1801" width="8.42578125" style="965" customWidth="1"/>
    <col min="1802" max="1802" width="16.42578125" style="965" customWidth="1"/>
    <col min="1803" max="1803" width="14.28515625" style="965" customWidth="1"/>
    <col min="1804" max="1804" width="9.85546875" style="965" customWidth="1"/>
    <col min="1805" max="1805" width="10.5703125" style="965" bestFit="1" customWidth="1"/>
    <col min="1806" max="2048" width="9.140625" style="965"/>
    <col min="2049" max="2049" width="0.85546875" style="965" customWidth="1"/>
    <col min="2050" max="2050" width="3.5703125" style="965" customWidth="1"/>
    <col min="2051" max="2052" width="9.140625" style="965"/>
    <col min="2053" max="2053" width="22.42578125" style="965" customWidth="1"/>
    <col min="2054" max="2054" width="23.140625" style="965" customWidth="1"/>
    <col min="2055" max="2056" width="7.85546875" style="965" customWidth="1"/>
    <col min="2057" max="2057" width="8.42578125" style="965" customWidth="1"/>
    <col min="2058" max="2058" width="16.42578125" style="965" customWidth="1"/>
    <col min="2059" max="2059" width="14.28515625" style="965" customWidth="1"/>
    <col min="2060" max="2060" width="9.85546875" style="965" customWidth="1"/>
    <col min="2061" max="2061" width="10.5703125" style="965" bestFit="1" customWidth="1"/>
    <col min="2062" max="2304" width="9.140625" style="965"/>
    <col min="2305" max="2305" width="0.85546875" style="965" customWidth="1"/>
    <col min="2306" max="2306" width="3.5703125" style="965" customWidth="1"/>
    <col min="2307" max="2308" width="9.140625" style="965"/>
    <col min="2309" max="2309" width="22.42578125" style="965" customWidth="1"/>
    <col min="2310" max="2310" width="23.140625" style="965" customWidth="1"/>
    <col min="2311" max="2312" width="7.85546875" style="965" customWidth="1"/>
    <col min="2313" max="2313" width="8.42578125" style="965" customWidth="1"/>
    <col min="2314" max="2314" width="16.42578125" style="965" customWidth="1"/>
    <col min="2315" max="2315" width="14.28515625" style="965" customWidth="1"/>
    <col min="2316" max="2316" width="9.85546875" style="965" customWidth="1"/>
    <col min="2317" max="2317" width="10.5703125" style="965" bestFit="1" customWidth="1"/>
    <col min="2318" max="2560" width="9.140625" style="965"/>
    <col min="2561" max="2561" width="0.85546875" style="965" customWidth="1"/>
    <col min="2562" max="2562" width="3.5703125" style="965" customWidth="1"/>
    <col min="2563" max="2564" width="9.140625" style="965"/>
    <col min="2565" max="2565" width="22.42578125" style="965" customWidth="1"/>
    <col min="2566" max="2566" width="23.140625" style="965" customWidth="1"/>
    <col min="2567" max="2568" width="7.85546875" style="965" customWidth="1"/>
    <col min="2569" max="2569" width="8.42578125" style="965" customWidth="1"/>
    <col min="2570" max="2570" width="16.42578125" style="965" customWidth="1"/>
    <col min="2571" max="2571" width="14.28515625" style="965" customWidth="1"/>
    <col min="2572" max="2572" width="9.85546875" style="965" customWidth="1"/>
    <col min="2573" max="2573" width="10.5703125" style="965" bestFit="1" customWidth="1"/>
    <col min="2574" max="2816" width="9.140625" style="965"/>
    <col min="2817" max="2817" width="0.85546875" style="965" customWidth="1"/>
    <col min="2818" max="2818" width="3.5703125" style="965" customWidth="1"/>
    <col min="2819" max="2820" width="9.140625" style="965"/>
    <col min="2821" max="2821" width="22.42578125" style="965" customWidth="1"/>
    <col min="2822" max="2822" width="23.140625" style="965" customWidth="1"/>
    <col min="2823" max="2824" width="7.85546875" style="965" customWidth="1"/>
    <col min="2825" max="2825" width="8.42578125" style="965" customWidth="1"/>
    <col min="2826" max="2826" width="16.42578125" style="965" customWidth="1"/>
    <col min="2827" max="2827" width="14.28515625" style="965" customWidth="1"/>
    <col min="2828" max="2828" width="9.85546875" style="965" customWidth="1"/>
    <col min="2829" max="2829" width="10.5703125" style="965" bestFit="1" customWidth="1"/>
    <col min="2830" max="3072" width="9.140625" style="965"/>
    <col min="3073" max="3073" width="0.85546875" style="965" customWidth="1"/>
    <col min="3074" max="3074" width="3.5703125" style="965" customWidth="1"/>
    <col min="3075" max="3076" width="9.140625" style="965"/>
    <col min="3077" max="3077" width="22.42578125" style="965" customWidth="1"/>
    <col min="3078" max="3078" width="23.140625" style="965" customWidth="1"/>
    <col min="3079" max="3080" width="7.85546875" style="965" customWidth="1"/>
    <col min="3081" max="3081" width="8.42578125" style="965" customWidth="1"/>
    <col min="3082" max="3082" width="16.42578125" style="965" customWidth="1"/>
    <col min="3083" max="3083" width="14.28515625" style="965" customWidth="1"/>
    <col min="3084" max="3084" width="9.85546875" style="965" customWidth="1"/>
    <col min="3085" max="3085" width="10.5703125" style="965" bestFit="1" customWidth="1"/>
    <col min="3086" max="3328" width="9.140625" style="965"/>
    <col min="3329" max="3329" width="0.85546875" style="965" customWidth="1"/>
    <col min="3330" max="3330" width="3.5703125" style="965" customWidth="1"/>
    <col min="3331" max="3332" width="9.140625" style="965"/>
    <col min="3333" max="3333" width="22.42578125" style="965" customWidth="1"/>
    <col min="3334" max="3334" width="23.140625" style="965" customWidth="1"/>
    <col min="3335" max="3336" width="7.85546875" style="965" customWidth="1"/>
    <col min="3337" max="3337" width="8.42578125" style="965" customWidth="1"/>
    <col min="3338" max="3338" width="16.42578125" style="965" customWidth="1"/>
    <col min="3339" max="3339" width="14.28515625" style="965" customWidth="1"/>
    <col min="3340" max="3340" width="9.85546875" style="965" customWidth="1"/>
    <col min="3341" max="3341" width="10.5703125" style="965" bestFit="1" customWidth="1"/>
    <col min="3342" max="3584" width="9.140625" style="965"/>
    <col min="3585" max="3585" width="0.85546875" style="965" customWidth="1"/>
    <col min="3586" max="3586" width="3.5703125" style="965" customWidth="1"/>
    <col min="3587" max="3588" width="9.140625" style="965"/>
    <col min="3589" max="3589" width="22.42578125" style="965" customWidth="1"/>
    <col min="3590" max="3590" width="23.140625" style="965" customWidth="1"/>
    <col min="3591" max="3592" width="7.85546875" style="965" customWidth="1"/>
    <col min="3593" max="3593" width="8.42578125" style="965" customWidth="1"/>
    <col min="3594" max="3594" width="16.42578125" style="965" customWidth="1"/>
    <col min="3595" max="3595" width="14.28515625" style="965" customWidth="1"/>
    <col min="3596" max="3596" width="9.85546875" style="965" customWidth="1"/>
    <col min="3597" max="3597" width="10.5703125" style="965" bestFit="1" customWidth="1"/>
    <col min="3598" max="3840" width="9.140625" style="965"/>
    <col min="3841" max="3841" width="0.85546875" style="965" customWidth="1"/>
    <col min="3842" max="3842" width="3.5703125" style="965" customWidth="1"/>
    <col min="3843" max="3844" width="9.140625" style="965"/>
    <col min="3845" max="3845" width="22.42578125" style="965" customWidth="1"/>
    <col min="3846" max="3846" width="23.140625" style="965" customWidth="1"/>
    <col min="3847" max="3848" width="7.85546875" style="965" customWidth="1"/>
    <col min="3849" max="3849" width="8.42578125" style="965" customWidth="1"/>
    <col min="3850" max="3850" width="16.42578125" style="965" customWidth="1"/>
    <col min="3851" max="3851" width="14.28515625" style="965" customWidth="1"/>
    <col min="3852" max="3852" width="9.85546875" style="965" customWidth="1"/>
    <col min="3853" max="3853" width="10.5703125" style="965" bestFit="1" customWidth="1"/>
    <col min="3854" max="4096" width="9.140625" style="965"/>
    <col min="4097" max="4097" width="0.85546875" style="965" customWidth="1"/>
    <col min="4098" max="4098" width="3.5703125" style="965" customWidth="1"/>
    <col min="4099" max="4100" width="9.140625" style="965"/>
    <col min="4101" max="4101" width="22.42578125" style="965" customWidth="1"/>
    <col min="4102" max="4102" width="23.140625" style="965" customWidth="1"/>
    <col min="4103" max="4104" width="7.85546875" style="965" customWidth="1"/>
    <col min="4105" max="4105" width="8.42578125" style="965" customWidth="1"/>
    <col min="4106" max="4106" width="16.42578125" style="965" customWidth="1"/>
    <col min="4107" max="4107" width="14.28515625" style="965" customWidth="1"/>
    <col min="4108" max="4108" width="9.85546875" style="965" customWidth="1"/>
    <col min="4109" max="4109" width="10.5703125" style="965" bestFit="1" customWidth="1"/>
    <col min="4110" max="4352" width="9.140625" style="965"/>
    <col min="4353" max="4353" width="0.85546875" style="965" customWidth="1"/>
    <col min="4354" max="4354" width="3.5703125" style="965" customWidth="1"/>
    <col min="4355" max="4356" width="9.140625" style="965"/>
    <col min="4357" max="4357" width="22.42578125" style="965" customWidth="1"/>
    <col min="4358" max="4358" width="23.140625" style="965" customWidth="1"/>
    <col min="4359" max="4360" width="7.85546875" style="965" customWidth="1"/>
    <col min="4361" max="4361" width="8.42578125" style="965" customWidth="1"/>
    <col min="4362" max="4362" width="16.42578125" style="965" customWidth="1"/>
    <col min="4363" max="4363" width="14.28515625" style="965" customWidth="1"/>
    <col min="4364" max="4364" width="9.85546875" style="965" customWidth="1"/>
    <col min="4365" max="4365" width="10.5703125" style="965" bestFit="1" customWidth="1"/>
    <col min="4366" max="4608" width="9.140625" style="965"/>
    <col min="4609" max="4609" width="0.85546875" style="965" customWidth="1"/>
    <col min="4610" max="4610" width="3.5703125" style="965" customWidth="1"/>
    <col min="4611" max="4612" width="9.140625" style="965"/>
    <col min="4613" max="4613" width="22.42578125" style="965" customWidth="1"/>
    <col min="4614" max="4614" width="23.140625" style="965" customWidth="1"/>
    <col min="4615" max="4616" width="7.85546875" style="965" customWidth="1"/>
    <col min="4617" max="4617" width="8.42578125" style="965" customWidth="1"/>
    <col min="4618" max="4618" width="16.42578125" style="965" customWidth="1"/>
    <col min="4619" max="4619" width="14.28515625" style="965" customWidth="1"/>
    <col min="4620" max="4620" width="9.85546875" style="965" customWidth="1"/>
    <col min="4621" max="4621" width="10.5703125" style="965" bestFit="1" customWidth="1"/>
    <col min="4622" max="4864" width="9.140625" style="965"/>
    <col min="4865" max="4865" width="0.85546875" style="965" customWidth="1"/>
    <col min="4866" max="4866" width="3.5703125" style="965" customWidth="1"/>
    <col min="4867" max="4868" width="9.140625" style="965"/>
    <col min="4869" max="4869" width="22.42578125" style="965" customWidth="1"/>
    <col min="4870" max="4870" width="23.140625" style="965" customWidth="1"/>
    <col min="4871" max="4872" width="7.85546875" style="965" customWidth="1"/>
    <col min="4873" max="4873" width="8.42578125" style="965" customWidth="1"/>
    <col min="4874" max="4874" width="16.42578125" style="965" customWidth="1"/>
    <col min="4875" max="4875" width="14.28515625" style="965" customWidth="1"/>
    <col min="4876" max="4876" width="9.85546875" style="965" customWidth="1"/>
    <col min="4877" max="4877" width="10.5703125" style="965" bestFit="1" customWidth="1"/>
    <col min="4878" max="5120" width="9.140625" style="965"/>
    <col min="5121" max="5121" width="0.85546875" style="965" customWidth="1"/>
    <col min="5122" max="5122" width="3.5703125" style="965" customWidth="1"/>
    <col min="5123" max="5124" width="9.140625" style="965"/>
    <col min="5125" max="5125" width="22.42578125" style="965" customWidth="1"/>
    <col min="5126" max="5126" width="23.140625" style="965" customWidth="1"/>
    <col min="5127" max="5128" width="7.85546875" style="965" customWidth="1"/>
    <col min="5129" max="5129" width="8.42578125" style="965" customWidth="1"/>
    <col min="5130" max="5130" width="16.42578125" style="965" customWidth="1"/>
    <col min="5131" max="5131" width="14.28515625" style="965" customWidth="1"/>
    <col min="5132" max="5132" width="9.85546875" style="965" customWidth="1"/>
    <col min="5133" max="5133" width="10.5703125" style="965" bestFit="1" customWidth="1"/>
    <col min="5134" max="5376" width="9.140625" style="965"/>
    <col min="5377" max="5377" width="0.85546875" style="965" customWidth="1"/>
    <col min="5378" max="5378" width="3.5703125" style="965" customWidth="1"/>
    <col min="5379" max="5380" width="9.140625" style="965"/>
    <col min="5381" max="5381" width="22.42578125" style="965" customWidth="1"/>
    <col min="5382" max="5382" width="23.140625" style="965" customWidth="1"/>
    <col min="5383" max="5384" width="7.85546875" style="965" customWidth="1"/>
    <col min="5385" max="5385" width="8.42578125" style="965" customWidth="1"/>
    <col min="5386" max="5386" width="16.42578125" style="965" customWidth="1"/>
    <col min="5387" max="5387" width="14.28515625" style="965" customWidth="1"/>
    <col min="5388" max="5388" width="9.85546875" style="965" customWidth="1"/>
    <col min="5389" max="5389" width="10.5703125" style="965" bestFit="1" customWidth="1"/>
    <col min="5390" max="5632" width="9.140625" style="965"/>
    <col min="5633" max="5633" width="0.85546875" style="965" customWidth="1"/>
    <col min="5634" max="5634" width="3.5703125" style="965" customWidth="1"/>
    <col min="5635" max="5636" width="9.140625" style="965"/>
    <col min="5637" max="5637" width="22.42578125" style="965" customWidth="1"/>
    <col min="5638" max="5638" width="23.140625" style="965" customWidth="1"/>
    <col min="5639" max="5640" width="7.85546875" style="965" customWidth="1"/>
    <col min="5641" max="5641" width="8.42578125" style="965" customWidth="1"/>
    <col min="5642" max="5642" width="16.42578125" style="965" customWidth="1"/>
    <col min="5643" max="5643" width="14.28515625" style="965" customWidth="1"/>
    <col min="5644" max="5644" width="9.85546875" style="965" customWidth="1"/>
    <col min="5645" max="5645" width="10.5703125" style="965" bestFit="1" customWidth="1"/>
    <col min="5646" max="5888" width="9.140625" style="965"/>
    <col min="5889" max="5889" width="0.85546875" style="965" customWidth="1"/>
    <col min="5890" max="5890" width="3.5703125" style="965" customWidth="1"/>
    <col min="5891" max="5892" width="9.140625" style="965"/>
    <col min="5893" max="5893" width="22.42578125" style="965" customWidth="1"/>
    <col min="5894" max="5894" width="23.140625" style="965" customWidth="1"/>
    <col min="5895" max="5896" width="7.85546875" style="965" customWidth="1"/>
    <col min="5897" max="5897" width="8.42578125" style="965" customWidth="1"/>
    <col min="5898" max="5898" width="16.42578125" style="965" customWidth="1"/>
    <col min="5899" max="5899" width="14.28515625" style="965" customWidth="1"/>
    <col min="5900" max="5900" width="9.85546875" style="965" customWidth="1"/>
    <col min="5901" max="5901" width="10.5703125" style="965" bestFit="1" customWidth="1"/>
    <col min="5902" max="6144" width="9.140625" style="965"/>
    <col min="6145" max="6145" width="0.85546875" style="965" customWidth="1"/>
    <col min="6146" max="6146" width="3.5703125" style="965" customWidth="1"/>
    <col min="6147" max="6148" width="9.140625" style="965"/>
    <col min="6149" max="6149" width="22.42578125" style="965" customWidth="1"/>
    <col min="6150" max="6150" width="23.140625" style="965" customWidth="1"/>
    <col min="6151" max="6152" width="7.85546875" style="965" customWidth="1"/>
    <col min="6153" max="6153" width="8.42578125" style="965" customWidth="1"/>
    <col min="6154" max="6154" width="16.42578125" style="965" customWidth="1"/>
    <col min="6155" max="6155" width="14.28515625" style="965" customWidth="1"/>
    <col min="6156" max="6156" width="9.85546875" style="965" customWidth="1"/>
    <col min="6157" max="6157" width="10.5703125" style="965" bestFit="1" customWidth="1"/>
    <col min="6158" max="6400" width="9.140625" style="965"/>
    <col min="6401" max="6401" width="0.85546875" style="965" customWidth="1"/>
    <col min="6402" max="6402" width="3.5703125" style="965" customWidth="1"/>
    <col min="6403" max="6404" width="9.140625" style="965"/>
    <col min="6405" max="6405" width="22.42578125" style="965" customWidth="1"/>
    <col min="6406" max="6406" width="23.140625" style="965" customWidth="1"/>
    <col min="6407" max="6408" width="7.85546875" style="965" customWidth="1"/>
    <col min="6409" max="6409" width="8.42578125" style="965" customWidth="1"/>
    <col min="6410" max="6410" width="16.42578125" style="965" customWidth="1"/>
    <col min="6411" max="6411" width="14.28515625" style="965" customWidth="1"/>
    <col min="6412" max="6412" width="9.85546875" style="965" customWidth="1"/>
    <col min="6413" max="6413" width="10.5703125" style="965" bestFit="1" customWidth="1"/>
    <col min="6414" max="6656" width="9.140625" style="965"/>
    <col min="6657" max="6657" width="0.85546875" style="965" customWidth="1"/>
    <col min="6658" max="6658" width="3.5703125" style="965" customWidth="1"/>
    <col min="6659" max="6660" width="9.140625" style="965"/>
    <col min="6661" max="6661" width="22.42578125" style="965" customWidth="1"/>
    <col min="6662" max="6662" width="23.140625" style="965" customWidth="1"/>
    <col min="6663" max="6664" width="7.85546875" style="965" customWidth="1"/>
    <col min="6665" max="6665" width="8.42578125" style="965" customWidth="1"/>
    <col min="6666" max="6666" width="16.42578125" style="965" customWidth="1"/>
    <col min="6667" max="6667" width="14.28515625" style="965" customWidth="1"/>
    <col min="6668" max="6668" width="9.85546875" style="965" customWidth="1"/>
    <col min="6669" max="6669" width="10.5703125" style="965" bestFit="1" customWidth="1"/>
    <col min="6670" max="6912" width="9.140625" style="965"/>
    <col min="6913" max="6913" width="0.85546875" style="965" customWidth="1"/>
    <col min="6914" max="6914" width="3.5703125" style="965" customWidth="1"/>
    <col min="6915" max="6916" width="9.140625" style="965"/>
    <col min="6917" max="6917" width="22.42578125" style="965" customWidth="1"/>
    <col min="6918" max="6918" width="23.140625" style="965" customWidth="1"/>
    <col min="6919" max="6920" width="7.85546875" style="965" customWidth="1"/>
    <col min="6921" max="6921" width="8.42578125" style="965" customWidth="1"/>
    <col min="6922" max="6922" width="16.42578125" style="965" customWidth="1"/>
    <col min="6923" max="6923" width="14.28515625" style="965" customWidth="1"/>
    <col min="6924" max="6924" width="9.85546875" style="965" customWidth="1"/>
    <col min="6925" max="6925" width="10.5703125" style="965" bestFit="1" customWidth="1"/>
    <col min="6926" max="7168" width="9.140625" style="965"/>
    <col min="7169" max="7169" width="0.85546875" style="965" customWidth="1"/>
    <col min="7170" max="7170" width="3.5703125" style="965" customWidth="1"/>
    <col min="7171" max="7172" width="9.140625" style="965"/>
    <col min="7173" max="7173" width="22.42578125" style="965" customWidth="1"/>
    <col min="7174" max="7174" width="23.140625" style="965" customWidth="1"/>
    <col min="7175" max="7176" width="7.85546875" style="965" customWidth="1"/>
    <col min="7177" max="7177" width="8.42578125" style="965" customWidth="1"/>
    <col min="7178" max="7178" width="16.42578125" style="965" customWidth="1"/>
    <col min="7179" max="7179" width="14.28515625" style="965" customWidth="1"/>
    <col min="7180" max="7180" width="9.85546875" style="965" customWidth="1"/>
    <col min="7181" max="7181" width="10.5703125" style="965" bestFit="1" customWidth="1"/>
    <col min="7182" max="7424" width="9.140625" style="965"/>
    <col min="7425" max="7425" width="0.85546875" style="965" customWidth="1"/>
    <col min="7426" max="7426" width="3.5703125" style="965" customWidth="1"/>
    <col min="7427" max="7428" width="9.140625" style="965"/>
    <col min="7429" max="7429" width="22.42578125" style="965" customWidth="1"/>
    <col min="7430" max="7430" width="23.140625" style="965" customWidth="1"/>
    <col min="7431" max="7432" width="7.85546875" style="965" customWidth="1"/>
    <col min="7433" max="7433" width="8.42578125" style="965" customWidth="1"/>
    <col min="7434" max="7434" width="16.42578125" style="965" customWidth="1"/>
    <col min="7435" max="7435" width="14.28515625" style="965" customWidth="1"/>
    <col min="7436" max="7436" width="9.85546875" style="965" customWidth="1"/>
    <col min="7437" max="7437" width="10.5703125" style="965" bestFit="1" customWidth="1"/>
    <col min="7438" max="7680" width="9.140625" style="965"/>
    <col min="7681" max="7681" width="0.85546875" style="965" customWidth="1"/>
    <col min="7682" max="7682" width="3.5703125" style="965" customWidth="1"/>
    <col min="7683" max="7684" width="9.140625" style="965"/>
    <col min="7685" max="7685" width="22.42578125" style="965" customWidth="1"/>
    <col min="7686" max="7686" width="23.140625" style="965" customWidth="1"/>
    <col min="7687" max="7688" width="7.85546875" style="965" customWidth="1"/>
    <col min="7689" max="7689" width="8.42578125" style="965" customWidth="1"/>
    <col min="7690" max="7690" width="16.42578125" style="965" customWidth="1"/>
    <col min="7691" max="7691" width="14.28515625" style="965" customWidth="1"/>
    <col min="7692" max="7692" width="9.85546875" style="965" customWidth="1"/>
    <col min="7693" max="7693" width="10.5703125" style="965" bestFit="1" customWidth="1"/>
    <col min="7694" max="7936" width="9.140625" style="965"/>
    <col min="7937" max="7937" width="0.85546875" style="965" customWidth="1"/>
    <col min="7938" max="7938" width="3.5703125" style="965" customWidth="1"/>
    <col min="7939" max="7940" width="9.140625" style="965"/>
    <col min="7941" max="7941" width="22.42578125" style="965" customWidth="1"/>
    <col min="7942" max="7942" width="23.140625" style="965" customWidth="1"/>
    <col min="7943" max="7944" width="7.85546875" style="965" customWidth="1"/>
    <col min="7945" max="7945" width="8.42578125" style="965" customWidth="1"/>
    <col min="7946" max="7946" width="16.42578125" style="965" customWidth="1"/>
    <col min="7947" max="7947" width="14.28515625" style="965" customWidth="1"/>
    <col min="7948" max="7948" width="9.85546875" style="965" customWidth="1"/>
    <col min="7949" max="7949" width="10.5703125" style="965" bestFit="1" customWidth="1"/>
    <col min="7950" max="8192" width="9.140625" style="965"/>
    <col min="8193" max="8193" width="0.85546875" style="965" customWidth="1"/>
    <col min="8194" max="8194" width="3.5703125" style="965" customWidth="1"/>
    <col min="8195" max="8196" width="9.140625" style="965"/>
    <col min="8197" max="8197" width="22.42578125" style="965" customWidth="1"/>
    <col min="8198" max="8198" width="23.140625" style="965" customWidth="1"/>
    <col min="8199" max="8200" width="7.85546875" style="965" customWidth="1"/>
    <col min="8201" max="8201" width="8.42578125" style="965" customWidth="1"/>
    <col min="8202" max="8202" width="16.42578125" style="965" customWidth="1"/>
    <col min="8203" max="8203" width="14.28515625" style="965" customWidth="1"/>
    <col min="8204" max="8204" width="9.85546875" style="965" customWidth="1"/>
    <col min="8205" max="8205" width="10.5703125" style="965" bestFit="1" customWidth="1"/>
    <col min="8206" max="8448" width="9.140625" style="965"/>
    <col min="8449" max="8449" width="0.85546875" style="965" customWidth="1"/>
    <col min="8450" max="8450" width="3.5703125" style="965" customWidth="1"/>
    <col min="8451" max="8452" width="9.140625" style="965"/>
    <col min="8453" max="8453" width="22.42578125" style="965" customWidth="1"/>
    <col min="8454" max="8454" width="23.140625" style="965" customWidth="1"/>
    <col min="8455" max="8456" width="7.85546875" style="965" customWidth="1"/>
    <col min="8457" max="8457" width="8.42578125" style="965" customWidth="1"/>
    <col min="8458" max="8458" width="16.42578125" style="965" customWidth="1"/>
    <col min="8459" max="8459" width="14.28515625" style="965" customWidth="1"/>
    <col min="8460" max="8460" width="9.85546875" style="965" customWidth="1"/>
    <col min="8461" max="8461" width="10.5703125" style="965" bestFit="1" customWidth="1"/>
    <col min="8462" max="8704" width="9.140625" style="965"/>
    <col min="8705" max="8705" width="0.85546875" style="965" customWidth="1"/>
    <col min="8706" max="8706" width="3.5703125" style="965" customWidth="1"/>
    <col min="8707" max="8708" width="9.140625" style="965"/>
    <col min="8709" max="8709" width="22.42578125" style="965" customWidth="1"/>
    <col min="8710" max="8710" width="23.140625" style="965" customWidth="1"/>
    <col min="8711" max="8712" width="7.85546875" style="965" customWidth="1"/>
    <col min="8713" max="8713" width="8.42578125" style="965" customWidth="1"/>
    <col min="8714" max="8714" width="16.42578125" style="965" customWidth="1"/>
    <col min="8715" max="8715" width="14.28515625" style="965" customWidth="1"/>
    <col min="8716" max="8716" width="9.85546875" style="965" customWidth="1"/>
    <col min="8717" max="8717" width="10.5703125" style="965" bestFit="1" customWidth="1"/>
    <col min="8718" max="8960" width="9.140625" style="965"/>
    <col min="8961" max="8961" width="0.85546875" style="965" customWidth="1"/>
    <col min="8962" max="8962" width="3.5703125" style="965" customWidth="1"/>
    <col min="8963" max="8964" width="9.140625" style="965"/>
    <col min="8965" max="8965" width="22.42578125" style="965" customWidth="1"/>
    <col min="8966" max="8966" width="23.140625" style="965" customWidth="1"/>
    <col min="8967" max="8968" width="7.85546875" style="965" customWidth="1"/>
    <col min="8969" max="8969" width="8.42578125" style="965" customWidth="1"/>
    <col min="8970" max="8970" width="16.42578125" style="965" customWidth="1"/>
    <col min="8971" max="8971" width="14.28515625" style="965" customWidth="1"/>
    <col min="8972" max="8972" width="9.85546875" style="965" customWidth="1"/>
    <col min="8973" max="8973" width="10.5703125" style="965" bestFit="1" customWidth="1"/>
    <col min="8974" max="9216" width="9.140625" style="965"/>
    <col min="9217" max="9217" width="0.85546875" style="965" customWidth="1"/>
    <col min="9218" max="9218" width="3.5703125" style="965" customWidth="1"/>
    <col min="9219" max="9220" width="9.140625" style="965"/>
    <col min="9221" max="9221" width="22.42578125" style="965" customWidth="1"/>
    <col min="9222" max="9222" width="23.140625" style="965" customWidth="1"/>
    <col min="9223" max="9224" width="7.85546875" style="965" customWidth="1"/>
    <col min="9225" max="9225" width="8.42578125" style="965" customWidth="1"/>
    <col min="9226" max="9226" width="16.42578125" style="965" customWidth="1"/>
    <col min="9227" max="9227" width="14.28515625" style="965" customWidth="1"/>
    <col min="9228" max="9228" width="9.85546875" style="965" customWidth="1"/>
    <col min="9229" max="9229" width="10.5703125" style="965" bestFit="1" customWidth="1"/>
    <col min="9230" max="9472" width="9.140625" style="965"/>
    <col min="9473" max="9473" width="0.85546875" style="965" customWidth="1"/>
    <col min="9474" max="9474" width="3.5703125" style="965" customWidth="1"/>
    <col min="9475" max="9476" width="9.140625" style="965"/>
    <col min="9477" max="9477" width="22.42578125" style="965" customWidth="1"/>
    <col min="9478" max="9478" width="23.140625" style="965" customWidth="1"/>
    <col min="9479" max="9480" width="7.85546875" style="965" customWidth="1"/>
    <col min="9481" max="9481" width="8.42578125" style="965" customWidth="1"/>
    <col min="9482" max="9482" width="16.42578125" style="965" customWidth="1"/>
    <col min="9483" max="9483" width="14.28515625" style="965" customWidth="1"/>
    <col min="9484" max="9484" width="9.85546875" style="965" customWidth="1"/>
    <col min="9485" max="9485" width="10.5703125" style="965" bestFit="1" customWidth="1"/>
    <col min="9486" max="9728" width="9.140625" style="965"/>
    <col min="9729" max="9729" width="0.85546875" style="965" customWidth="1"/>
    <col min="9730" max="9730" width="3.5703125" style="965" customWidth="1"/>
    <col min="9731" max="9732" width="9.140625" style="965"/>
    <col min="9733" max="9733" width="22.42578125" style="965" customWidth="1"/>
    <col min="9734" max="9734" width="23.140625" style="965" customWidth="1"/>
    <col min="9735" max="9736" width="7.85546875" style="965" customWidth="1"/>
    <col min="9737" max="9737" width="8.42578125" style="965" customWidth="1"/>
    <col min="9738" max="9738" width="16.42578125" style="965" customWidth="1"/>
    <col min="9739" max="9739" width="14.28515625" style="965" customWidth="1"/>
    <col min="9740" max="9740" width="9.85546875" style="965" customWidth="1"/>
    <col min="9741" max="9741" width="10.5703125" style="965" bestFit="1" customWidth="1"/>
    <col min="9742" max="9984" width="9.140625" style="965"/>
    <col min="9985" max="9985" width="0.85546875" style="965" customWidth="1"/>
    <col min="9986" max="9986" width="3.5703125" style="965" customWidth="1"/>
    <col min="9987" max="9988" width="9.140625" style="965"/>
    <col min="9989" max="9989" width="22.42578125" style="965" customWidth="1"/>
    <col min="9990" max="9990" width="23.140625" style="965" customWidth="1"/>
    <col min="9991" max="9992" width="7.85546875" style="965" customWidth="1"/>
    <col min="9993" max="9993" width="8.42578125" style="965" customWidth="1"/>
    <col min="9994" max="9994" width="16.42578125" style="965" customWidth="1"/>
    <col min="9995" max="9995" width="14.28515625" style="965" customWidth="1"/>
    <col min="9996" max="9996" width="9.85546875" style="965" customWidth="1"/>
    <col min="9997" max="9997" width="10.5703125" style="965" bestFit="1" customWidth="1"/>
    <col min="9998" max="10240" width="9.140625" style="965"/>
    <col min="10241" max="10241" width="0.85546875" style="965" customWidth="1"/>
    <col min="10242" max="10242" width="3.5703125" style="965" customWidth="1"/>
    <col min="10243" max="10244" width="9.140625" style="965"/>
    <col min="10245" max="10245" width="22.42578125" style="965" customWidth="1"/>
    <col min="10246" max="10246" width="23.140625" style="965" customWidth="1"/>
    <col min="10247" max="10248" width="7.85546875" style="965" customWidth="1"/>
    <col min="10249" max="10249" width="8.42578125" style="965" customWidth="1"/>
    <col min="10250" max="10250" width="16.42578125" style="965" customWidth="1"/>
    <col min="10251" max="10251" width="14.28515625" style="965" customWidth="1"/>
    <col min="10252" max="10252" width="9.85546875" style="965" customWidth="1"/>
    <col min="10253" max="10253" width="10.5703125" style="965" bestFit="1" customWidth="1"/>
    <col min="10254" max="10496" width="9.140625" style="965"/>
    <col min="10497" max="10497" width="0.85546875" style="965" customWidth="1"/>
    <col min="10498" max="10498" width="3.5703125" style="965" customWidth="1"/>
    <col min="10499" max="10500" width="9.140625" style="965"/>
    <col min="10501" max="10501" width="22.42578125" style="965" customWidth="1"/>
    <col min="10502" max="10502" width="23.140625" style="965" customWidth="1"/>
    <col min="10503" max="10504" width="7.85546875" style="965" customWidth="1"/>
    <col min="10505" max="10505" width="8.42578125" style="965" customWidth="1"/>
    <col min="10506" max="10506" width="16.42578125" style="965" customWidth="1"/>
    <col min="10507" max="10507" width="14.28515625" style="965" customWidth="1"/>
    <col min="10508" max="10508" width="9.85546875" style="965" customWidth="1"/>
    <col min="10509" max="10509" width="10.5703125" style="965" bestFit="1" customWidth="1"/>
    <col min="10510" max="10752" width="9.140625" style="965"/>
    <col min="10753" max="10753" width="0.85546875" style="965" customWidth="1"/>
    <col min="10754" max="10754" width="3.5703125" style="965" customWidth="1"/>
    <col min="10755" max="10756" width="9.140625" style="965"/>
    <col min="10757" max="10757" width="22.42578125" style="965" customWidth="1"/>
    <col min="10758" max="10758" width="23.140625" style="965" customWidth="1"/>
    <col min="10759" max="10760" width="7.85546875" style="965" customWidth="1"/>
    <col min="10761" max="10761" width="8.42578125" style="965" customWidth="1"/>
    <col min="10762" max="10762" width="16.42578125" style="965" customWidth="1"/>
    <col min="10763" max="10763" width="14.28515625" style="965" customWidth="1"/>
    <col min="10764" max="10764" width="9.85546875" style="965" customWidth="1"/>
    <col min="10765" max="10765" width="10.5703125" style="965" bestFit="1" customWidth="1"/>
    <col min="10766" max="11008" width="9.140625" style="965"/>
    <col min="11009" max="11009" width="0.85546875" style="965" customWidth="1"/>
    <col min="11010" max="11010" width="3.5703125" style="965" customWidth="1"/>
    <col min="11011" max="11012" width="9.140625" style="965"/>
    <col min="11013" max="11013" width="22.42578125" style="965" customWidth="1"/>
    <col min="11014" max="11014" width="23.140625" style="965" customWidth="1"/>
    <col min="11015" max="11016" width="7.85546875" style="965" customWidth="1"/>
    <col min="11017" max="11017" width="8.42578125" style="965" customWidth="1"/>
    <col min="11018" max="11018" width="16.42578125" style="965" customWidth="1"/>
    <col min="11019" max="11019" width="14.28515625" style="965" customWidth="1"/>
    <col min="11020" max="11020" width="9.85546875" style="965" customWidth="1"/>
    <col min="11021" max="11021" width="10.5703125" style="965" bestFit="1" customWidth="1"/>
    <col min="11022" max="11264" width="9.140625" style="965"/>
    <col min="11265" max="11265" width="0.85546875" style="965" customWidth="1"/>
    <col min="11266" max="11266" width="3.5703125" style="965" customWidth="1"/>
    <col min="11267" max="11268" width="9.140625" style="965"/>
    <col min="11269" max="11269" width="22.42578125" style="965" customWidth="1"/>
    <col min="11270" max="11270" width="23.140625" style="965" customWidth="1"/>
    <col min="11271" max="11272" width="7.85546875" style="965" customWidth="1"/>
    <col min="11273" max="11273" width="8.42578125" style="965" customWidth="1"/>
    <col min="11274" max="11274" width="16.42578125" style="965" customWidth="1"/>
    <col min="11275" max="11275" width="14.28515625" style="965" customWidth="1"/>
    <col min="11276" max="11276" width="9.85546875" style="965" customWidth="1"/>
    <col min="11277" max="11277" width="10.5703125" style="965" bestFit="1" customWidth="1"/>
    <col min="11278" max="11520" width="9.140625" style="965"/>
    <col min="11521" max="11521" width="0.85546875" style="965" customWidth="1"/>
    <col min="11522" max="11522" width="3.5703125" style="965" customWidth="1"/>
    <col min="11523" max="11524" width="9.140625" style="965"/>
    <col min="11525" max="11525" width="22.42578125" style="965" customWidth="1"/>
    <col min="11526" max="11526" width="23.140625" style="965" customWidth="1"/>
    <col min="11527" max="11528" width="7.85546875" style="965" customWidth="1"/>
    <col min="11529" max="11529" width="8.42578125" style="965" customWidth="1"/>
    <col min="11530" max="11530" width="16.42578125" style="965" customWidth="1"/>
    <col min="11531" max="11531" width="14.28515625" style="965" customWidth="1"/>
    <col min="11532" max="11532" width="9.85546875" style="965" customWidth="1"/>
    <col min="11533" max="11533" width="10.5703125" style="965" bestFit="1" customWidth="1"/>
    <col min="11534" max="11776" width="9.140625" style="965"/>
    <col min="11777" max="11777" width="0.85546875" style="965" customWidth="1"/>
    <col min="11778" max="11778" width="3.5703125" style="965" customWidth="1"/>
    <col min="11779" max="11780" width="9.140625" style="965"/>
    <col min="11781" max="11781" width="22.42578125" style="965" customWidth="1"/>
    <col min="11782" max="11782" width="23.140625" style="965" customWidth="1"/>
    <col min="11783" max="11784" width="7.85546875" style="965" customWidth="1"/>
    <col min="11785" max="11785" width="8.42578125" style="965" customWidth="1"/>
    <col min="11786" max="11786" width="16.42578125" style="965" customWidth="1"/>
    <col min="11787" max="11787" width="14.28515625" style="965" customWidth="1"/>
    <col min="11788" max="11788" width="9.85546875" style="965" customWidth="1"/>
    <col min="11789" max="11789" width="10.5703125" style="965" bestFit="1" customWidth="1"/>
    <col min="11790" max="12032" width="9.140625" style="965"/>
    <col min="12033" max="12033" width="0.85546875" style="965" customWidth="1"/>
    <col min="12034" max="12034" width="3.5703125" style="965" customWidth="1"/>
    <col min="12035" max="12036" width="9.140625" style="965"/>
    <col min="12037" max="12037" width="22.42578125" style="965" customWidth="1"/>
    <col min="12038" max="12038" width="23.140625" style="965" customWidth="1"/>
    <col min="12039" max="12040" width="7.85546875" style="965" customWidth="1"/>
    <col min="12041" max="12041" width="8.42578125" style="965" customWidth="1"/>
    <col min="12042" max="12042" width="16.42578125" style="965" customWidth="1"/>
    <col min="12043" max="12043" width="14.28515625" style="965" customWidth="1"/>
    <col min="12044" max="12044" width="9.85546875" style="965" customWidth="1"/>
    <col min="12045" max="12045" width="10.5703125" style="965" bestFit="1" customWidth="1"/>
    <col min="12046" max="12288" width="9.140625" style="965"/>
    <col min="12289" max="12289" width="0.85546875" style="965" customWidth="1"/>
    <col min="12290" max="12290" width="3.5703125" style="965" customWidth="1"/>
    <col min="12291" max="12292" width="9.140625" style="965"/>
    <col min="12293" max="12293" width="22.42578125" style="965" customWidth="1"/>
    <col min="12294" max="12294" width="23.140625" style="965" customWidth="1"/>
    <col min="12295" max="12296" width="7.85546875" style="965" customWidth="1"/>
    <col min="12297" max="12297" width="8.42578125" style="965" customWidth="1"/>
    <col min="12298" max="12298" width="16.42578125" style="965" customWidth="1"/>
    <col min="12299" max="12299" width="14.28515625" style="965" customWidth="1"/>
    <col min="12300" max="12300" width="9.85546875" style="965" customWidth="1"/>
    <col min="12301" max="12301" width="10.5703125" style="965" bestFit="1" customWidth="1"/>
    <col min="12302" max="12544" width="9.140625" style="965"/>
    <col min="12545" max="12545" width="0.85546875" style="965" customWidth="1"/>
    <col min="12546" max="12546" width="3.5703125" style="965" customWidth="1"/>
    <col min="12547" max="12548" width="9.140625" style="965"/>
    <col min="12549" max="12549" width="22.42578125" style="965" customWidth="1"/>
    <col min="12550" max="12550" width="23.140625" style="965" customWidth="1"/>
    <col min="12551" max="12552" width="7.85546875" style="965" customWidth="1"/>
    <col min="12553" max="12553" width="8.42578125" style="965" customWidth="1"/>
    <col min="12554" max="12554" width="16.42578125" style="965" customWidth="1"/>
    <col min="12555" max="12555" width="14.28515625" style="965" customWidth="1"/>
    <col min="12556" max="12556" width="9.85546875" style="965" customWidth="1"/>
    <col min="12557" max="12557" width="10.5703125" style="965" bestFit="1" customWidth="1"/>
    <col min="12558" max="12800" width="9.140625" style="965"/>
    <col min="12801" max="12801" width="0.85546875" style="965" customWidth="1"/>
    <col min="12802" max="12802" width="3.5703125" style="965" customWidth="1"/>
    <col min="12803" max="12804" width="9.140625" style="965"/>
    <col min="12805" max="12805" width="22.42578125" style="965" customWidth="1"/>
    <col min="12806" max="12806" width="23.140625" style="965" customWidth="1"/>
    <col min="12807" max="12808" width="7.85546875" style="965" customWidth="1"/>
    <col min="12809" max="12809" width="8.42578125" style="965" customWidth="1"/>
    <col min="12810" max="12810" width="16.42578125" style="965" customWidth="1"/>
    <col min="12811" max="12811" width="14.28515625" style="965" customWidth="1"/>
    <col min="12812" max="12812" width="9.85546875" style="965" customWidth="1"/>
    <col min="12813" max="12813" width="10.5703125" style="965" bestFit="1" customWidth="1"/>
    <col min="12814" max="13056" width="9.140625" style="965"/>
    <col min="13057" max="13057" width="0.85546875" style="965" customWidth="1"/>
    <col min="13058" max="13058" width="3.5703125" style="965" customWidth="1"/>
    <col min="13059" max="13060" width="9.140625" style="965"/>
    <col min="13061" max="13061" width="22.42578125" style="965" customWidth="1"/>
    <col min="13062" max="13062" width="23.140625" style="965" customWidth="1"/>
    <col min="13063" max="13064" width="7.85546875" style="965" customWidth="1"/>
    <col min="13065" max="13065" width="8.42578125" style="965" customWidth="1"/>
    <col min="13066" max="13066" width="16.42578125" style="965" customWidth="1"/>
    <col min="13067" max="13067" width="14.28515625" style="965" customWidth="1"/>
    <col min="13068" max="13068" width="9.85546875" style="965" customWidth="1"/>
    <col min="13069" max="13069" width="10.5703125" style="965" bestFit="1" customWidth="1"/>
    <col min="13070" max="13312" width="9.140625" style="965"/>
    <col min="13313" max="13313" width="0.85546875" style="965" customWidth="1"/>
    <col min="13314" max="13314" width="3.5703125" style="965" customWidth="1"/>
    <col min="13315" max="13316" width="9.140625" style="965"/>
    <col min="13317" max="13317" width="22.42578125" style="965" customWidth="1"/>
    <col min="13318" max="13318" width="23.140625" style="965" customWidth="1"/>
    <col min="13319" max="13320" width="7.85546875" style="965" customWidth="1"/>
    <col min="13321" max="13321" width="8.42578125" style="965" customWidth="1"/>
    <col min="13322" max="13322" width="16.42578125" style="965" customWidth="1"/>
    <col min="13323" max="13323" width="14.28515625" style="965" customWidth="1"/>
    <col min="13324" max="13324" width="9.85546875" style="965" customWidth="1"/>
    <col min="13325" max="13325" width="10.5703125" style="965" bestFit="1" customWidth="1"/>
    <col min="13326" max="13568" width="9.140625" style="965"/>
    <col min="13569" max="13569" width="0.85546875" style="965" customWidth="1"/>
    <col min="13570" max="13570" width="3.5703125" style="965" customWidth="1"/>
    <col min="13571" max="13572" width="9.140625" style="965"/>
    <col min="13573" max="13573" width="22.42578125" style="965" customWidth="1"/>
    <col min="13574" max="13574" width="23.140625" style="965" customWidth="1"/>
    <col min="13575" max="13576" width="7.85546875" style="965" customWidth="1"/>
    <col min="13577" max="13577" width="8.42578125" style="965" customWidth="1"/>
    <col min="13578" max="13578" width="16.42578125" style="965" customWidth="1"/>
    <col min="13579" max="13579" width="14.28515625" style="965" customWidth="1"/>
    <col min="13580" max="13580" width="9.85546875" style="965" customWidth="1"/>
    <col min="13581" max="13581" width="10.5703125" style="965" bestFit="1" customWidth="1"/>
    <col min="13582" max="13824" width="9.140625" style="965"/>
    <col min="13825" max="13825" width="0.85546875" style="965" customWidth="1"/>
    <col min="13826" max="13826" width="3.5703125" style="965" customWidth="1"/>
    <col min="13827" max="13828" width="9.140625" style="965"/>
    <col min="13829" max="13829" width="22.42578125" style="965" customWidth="1"/>
    <col min="13830" max="13830" width="23.140625" style="965" customWidth="1"/>
    <col min="13831" max="13832" width="7.85546875" style="965" customWidth="1"/>
    <col min="13833" max="13833" width="8.42578125" style="965" customWidth="1"/>
    <col min="13834" max="13834" width="16.42578125" style="965" customWidth="1"/>
    <col min="13835" max="13835" width="14.28515625" style="965" customWidth="1"/>
    <col min="13836" max="13836" width="9.85546875" style="965" customWidth="1"/>
    <col min="13837" max="13837" width="10.5703125" style="965" bestFit="1" customWidth="1"/>
    <col min="13838" max="14080" width="9.140625" style="965"/>
    <col min="14081" max="14081" width="0.85546875" style="965" customWidth="1"/>
    <col min="14082" max="14082" width="3.5703125" style="965" customWidth="1"/>
    <col min="14083" max="14084" width="9.140625" style="965"/>
    <col min="14085" max="14085" width="22.42578125" style="965" customWidth="1"/>
    <col min="14086" max="14086" width="23.140625" style="965" customWidth="1"/>
    <col min="14087" max="14088" width="7.85546875" style="965" customWidth="1"/>
    <col min="14089" max="14089" width="8.42578125" style="965" customWidth="1"/>
    <col min="14090" max="14090" width="16.42578125" style="965" customWidth="1"/>
    <col min="14091" max="14091" width="14.28515625" style="965" customWidth="1"/>
    <col min="14092" max="14092" width="9.85546875" style="965" customWidth="1"/>
    <col min="14093" max="14093" width="10.5703125" style="965" bestFit="1" customWidth="1"/>
    <col min="14094" max="14336" width="9.140625" style="965"/>
    <col min="14337" max="14337" width="0.85546875" style="965" customWidth="1"/>
    <col min="14338" max="14338" width="3.5703125" style="965" customWidth="1"/>
    <col min="14339" max="14340" width="9.140625" style="965"/>
    <col min="14341" max="14341" width="22.42578125" style="965" customWidth="1"/>
    <col min="14342" max="14342" width="23.140625" style="965" customWidth="1"/>
    <col min="14343" max="14344" width="7.85546875" style="965" customWidth="1"/>
    <col min="14345" max="14345" width="8.42578125" style="965" customWidth="1"/>
    <col min="14346" max="14346" width="16.42578125" style="965" customWidth="1"/>
    <col min="14347" max="14347" width="14.28515625" style="965" customWidth="1"/>
    <col min="14348" max="14348" width="9.85546875" style="965" customWidth="1"/>
    <col min="14349" max="14349" width="10.5703125" style="965" bestFit="1" customWidth="1"/>
    <col min="14350" max="14592" width="9.140625" style="965"/>
    <col min="14593" max="14593" width="0.85546875" style="965" customWidth="1"/>
    <col min="14594" max="14594" width="3.5703125" style="965" customWidth="1"/>
    <col min="14595" max="14596" width="9.140625" style="965"/>
    <col min="14597" max="14597" width="22.42578125" style="965" customWidth="1"/>
    <col min="14598" max="14598" width="23.140625" style="965" customWidth="1"/>
    <col min="14599" max="14600" width="7.85546875" style="965" customWidth="1"/>
    <col min="14601" max="14601" width="8.42578125" style="965" customWidth="1"/>
    <col min="14602" max="14602" width="16.42578125" style="965" customWidth="1"/>
    <col min="14603" max="14603" width="14.28515625" style="965" customWidth="1"/>
    <col min="14604" max="14604" width="9.85546875" style="965" customWidth="1"/>
    <col min="14605" max="14605" width="10.5703125" style="965" bestFit="1" customWidth="1"/>
    <col min="14606" max="14848" width="9.140625" style="965"/>
    <col min="14849" max="14849" width="0.85546875" style="965" customWidth="1"/>
    <col min="14850" max="14850" width="3.5703125" style="965" customWidth="1"/>
    <col min="14851" max="14852" width="9.140625" style="965"/>
    <col min="14853" max="14853" width="22.42578125" style="965" customWidth="1"/>
    <col min="14854" max="14854" width="23.140625" style="965" customWidth="1"/>
    <col min="14855" max="14856" width="7.85546875" style="965" customWidth="1"/>
    <col min="14857" max="14857" width="8.42578125" style="965" customWidth="1"/>
    <col min="14858" max="14858" width="16.42578125" style="965" customWidth="1"/>
    <col min="14859" max="14859" width="14.28515625" style="965" customWidth="1"/>
    <col min="14860" max="14860" width="9.85546875" style="965" customWidth="1"/>
    <col min="14861" max="14861" width="10.5703125" style="965" bestFit="1" customWidth="1"/>
    <col min="14862" max="15104" width="9.140625" style="965"/>
    <col min="15105" max="15105" width="0.85546875" style="965" customWidth="1"/>
    <col min="15106" max="15106" width="3.5703125" style="965" customWidth="1"/>
    <col min="15107" max="15108" width="9.140625" style="965"/>
    <col min="15109" max="15109" width="22.42578125" style="965" customWidth="1"/>
    <col min="15110" max="15110" width="23.140625" style="965" customWidth="1"/>
    <col min="15111" max="15112" width="7.85546875" style="965" customWidth="1"/>
    <col min="15113" max="15113" width="8.42578125" style="965" customWidth="1"/>
    <col min="15114" max="15114" width="16.42578125" style="965" customWidth="1"/>
    <col min="15115" max="15115" width="14.28515625" style="965" customWidth="1"/>
    <col min="15116" max="15116" width="9.85546875" style="965" customWidth="1"/>
    <col min="15117" max="15117" width="10.5703125" style="965" bestFit="1" customWidth="1"/>
    <col min="15118" max="15360" width="9.140625" style="965"/>
    <col min="15361" max="15361" width="0.85546875" style="965" customWidth="1"/>
    <col min="15362" max="15362" width="3.5703125" style="965" customWidth="1"/>
    <col min="15363" max="15364" width="9.140625" style="965"/>
    <col min="15365" max="15365" width="22.42578125" style="965" customWidth="1"/>
    <col min="15366" max="15366" width="23.140625" style="965" customWidth="1"/>
    <col min="15367" max="15368" width="7.85546875" style="965" customWidth="1"/>
    <col min="15369" max="15369" width="8.42578125" style="965" customWidth="1"/>
    <col min="15370" max="15370" width="16.42578125" style="965" customWidth="1"/>
    <col min="15371" max="15371" width="14.28515625" style="965" customWidth="1"/>
    <col min="15372" max="15372" width="9.85546875" style="965" customWidth="1"/>
    <col min="15373" max="15373" width="10.5703125" style="965" bestFit="1" customWidth="1"/>
    <col min="15374" max="15616" width="9.140625" style="965"/>
    <col min="15617" max="15617" width="0.85546875" style="965" customWidth="1"/>
    <col min="15618" max="15618" width="3.5703125" style="965" customWidth="1"/>
    <col min="15619" max="15620" width="9.140625" style="965"/>
    <col min="15621" max="15621" width="22.42578125" style="965" customWidth="1"/>
    <col min="15622" max="15622" width="23.140625" style="965" customWidth="1"/>
    <col min="15623" max="15624" width="7.85546875" style="965" customWidth="1"/>
    <col min="15625" max="15625" width="8.42578125" style="965" customWidth="1"/>
    <col min="15626" max="15626" width="16.42578125" style="965" customWidth="1"/>
    <col min="15627" max="15627" width="14.28515625" style="965" customWidth="1"/>
    <col min="15628" max="15628" width="9.85546875" style="965" customWidth="1"/>
    <col min="15629" max="15629" width="10.5703125" style="965" bestFit="1" customWidth="1"/>
    <col min="15630" max="15872" width="9.140625" style="965"/>
    <col min="15873" max="15873" width="0.85546875" style="965" customWidth="1"/>
    <col min="15874" max="15874" width="3.5703125" style="965" customWidth="1"/>
    <col min="15875" max="15876" width="9.140625" style="965"/>
    <col min="15877" max="15877" width="22.42578125" style="965" customWidth="1"/>
    <col min="15878" max="15878" width="23.140625" style="965" customWidth="1"/>
    <col min="15879" max="15880" width="7.85546875" style="965" customWidth="1"/>
    <col min="15881" max="15881" width="8.42578125" style="965" customWidth="1"/>
    <col min="15882" max="15882" width="16.42578125" style="965" customWidth="1"/>
    <col min="15883" max="15883" width="14.28515625" style="965" customWidth="1"/>
    <col min="15884" max="15884" width="9.85546875" style="965" customWidth="1"/>
    <col min="15885" max="15885" width="10.5703125" style="965" bestFit="1" customWidth="1"/>
    <col min="15886" max="16128" width="9.140625" style="965"/>
    <col min="16129" max="16129" width="0.85546875" style="965" customWidth="1"/>
    <col min="16130" max="16130" width="3.5703125" style="965" customWidth="1"/>
    <col min="16131" max="16132" width="9.140625" style="965"/>
    <col min="16133" max="16133" width="22.42578125" style="965" customWidth="1"/>
    <col min="16134" max="16134" width="23.140625" style="965" customWidth="1"/>
    <col min="16135" max="16136" width="7.85546875" style="965" customWidth="1"/>
    <col min="16137" max="16137" width="8.42578125" style="965" customWidth="1"/>
    <col min="16138" max="16138" width="16.42578125" style="965" customWidth="1"/>
    <col min="16139" max="16139" width="14.28515625" style="965" customWidth="1"/>
    <col min="16140" max="16140" width="9.85546875" style="965" customWidth="1"/>
    <col min="16141" max="16141" width="10.5703125" style="965" bestFit="1" customWidth="1"/>
    <col min="16142" max="16384" width="9.140625" style="965"/>
  </cols>
  <sheetData>
    <row r="1" spans="1:33" s="69" customFormat="1" ht="15.75" customHeight="1" x14ac:dyDescent="0.25">
      <c r="B1" s="956"/>
      <c r="C1" s="956"/>
      <c r="D1" s="956"/>
      <c r="E1" s="957"/>
      <c r="F1" s="958"/>
      <c r="G1" s="959"/>
      <c r="H1" s="959"/>
      <c r="I1" s="960"/>
      <c r="J1" s="58"/>
      <c r="K1" s="58"/>
      <c r="L1" s="58"/>
      <c r="M1" s="58"/>
      <c r="N1" s="58"/>
      <c r="O1" s="58"/>
      <c r="P1" s="58"/>
      <c r="Q1" s="58"/>
      <c r="R1" s="58"/>
      <c r="S1" s="58"/>
    </row>
    <row r="2" spans="1:33" s="69" customFormat="1" ht="21.75" customHeight="1" x14ac:dyDescent="0.25">
      <c r="C2" s="71"/>
      <c r="E2" s="957"/>
      <c r="F2" s="958"/>
      <c r="G2" s="959"/>
      <c r="H2" s="959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33" s="961" customFormat="1" ht="9" customHeight="1" x14ac:dyDescent="0.2">
      <c r="B3" s="962"/>
      <c r="C3" s="962"/>
      <c r="D3" s="962"/>
      <c r="E3" s="962"/>
      <c r="F3" s="962"/>
      <c r="G3" s="962"/>
      <c r="H3" s="962"/>
      <c r="I3" s="962"/>
      <c r="J3" s="962"/>
      <c r="K3" s="962"/>
    </row>
    <row r="4" spans="1:33" s="69" customFormat="1" ht="16.5" customHeight="1" x14ac:dyDescent="0.25">
      <c r="A4" s="1896" t="s">
        <v>555</v>
      </c>
      <c r="B4" s="1896"/>
      <c r="C4" s="1896"/>
      <c r="D4" s="1896"/>
      <c r="E4" s="1896"/>
      <c r="F4" s="1896"/>
      <c r="G4" s="1896"/>
      <c r="H4" s="1896"/>
      <c r="I4" s="1896"/>
      <c r="J4" s="1896"/>
      <c r="K4" s="1896"/>
      <c r="L4" s="58"/>
      <c r="M4" s="58"/>
      <c r="N4" s="58"/>
      <c r="O4" s="58"/>
      <c r="P4" s="58"/>
      <c r="Q4" s="58"/>
      <c r="R4" s="58"/>
      <c r="S4" s="58"/>
    </row>
    <row r="5" spans="1:33" s="69" customFormat="1" ht="16.5" customHeight="1" x14ac:dyDescent="0.25">
      <c r="A5" s="698"/>
      <c r="B5" s="1896"/>
      <c r="C5" s="1896"/>
      <c r="D5" s="1896"/>
      <c r="E5" s="1896"/>
      <c r="F5" s="1896"/>
      <c r="G5" s="1896"/>
      <c r="H5" s="1896"/>
      <c r="I5" s="1896"/>
      <c r="J5" s="1896"/>
      <c r="K5" s="1896"/>
      <c r="L5" s="58"/>
      <c r="M5" s="58"/>
      <c r="N5" s="58"/>
      <c r="O5" s="58"/>
      <c r="P5" s="58"/>
      <c r="Q5" s="58"/>
      <c r="R5" s="58"/>
      <c r="S5" s="58"/>
    </row>
    <row r="6" spans="1:33" s="69" customFormat="1" ht="36" customHeight="1" x14ac:dyDescent="0.3">
      <c r="A6" s="2185" t="str">
        <f>' ССР (нов)'!A6:G6</f>
        <v xml:space="preserve">Реконструкция теплового ввода </v>
      </c>
      <c r="B6" s="2186"/>
      <c r="C6" s="2186"/>
      <c r="D6" s="2186"/>
      <c r="E6" s="2186"/>
      <c r="F6" s="2186"/>
      <c r="G6" s="2186"/>
      <c r="H6" s="2186"/>
      <c r="I6" s="2186"/>
      <c r="J6" s="2186"/>
      <c r="K6" s="2186"/>
      <c r="L6" s="964" t="s">
        <v>437</v>
      </c>
      <c r="M6" s="58"/>
      <c r="N6" s="58"/>
      <c r="O6" s="58"/>
      <c r="P6" s="58"/>
      <c r="Q6" s="58"/>
      <c r="R6" s="58"/>
      <c r="S6" s="58"/>
      <c r="AA6" s="2186"/>
      <c r="AB6" s="2187"/>
      <c r="AC6" s="2186"/>
      <c r="AD6" s="2186"/>
      <c r="AE6" s="2186"/>
      <c r="AF6" s="2186"/>
      <c r="AG6" s="2186"/>
    </row>
    <row r="7" spans="1:33" s="69" customFormat="1" ht="27" customHeight="1" x14ac:dyDescent="0.25">
      <c r="A7" s="2188" t="str">
        <f>' ССР (нов)'!A7:G7</f>
        <v>г. Москва , ул. Мневники д.4</v>
      </c>
      <c r="B7" s="1896"/>
      <c r="C7" s="1896"/>
      <c r="D7" s="1896"/>
      <c r="E7" s="1896"/>
      <c r="F7" s="1896"/>
      <c r="G7" s="1896"/>
      <c r="H7" s="1896"/>
      <c r="I7" s="1896"/>
      <c r="J7" s="1896"/>
      <c r="K7" s="1896"/>
      <c r="L7" s="58"/>
      <c r="M7" s="58"/>
      <c r="N7" s="58"/>
      <c r="O7" s="58"/>
      <c r="P7" s="58"/>
      <c r="Q7" s="58"/>
      <c r="R7" s="58"/>
      <c r="S7" s="58"/>
    </row>
    <row r="8" spans="1:33" s="69" customFormat="1" ht="40.5" customHeight="1" x14ac:dyDescent="0.25">
      <c r="A8" s="698"/>
      <c r="B8" s="2184" t="s">
        <v>638</v>
      </c>
      <c r="C8" s="2184"/>
      <c r="D8" s="2184"/>
      <c r="E8" s="2184"/>
      <c r="F8" s="2184"/>
      <c r="G8" s="2184"/>
      <c r="H8" s="2184"/>
      <c r="I8" s="2184"/>
      <c r="J8" s="2184"/>
      <c r="K8" s="2184"/>
      <c r="L8" s="58"/>
      <c r="M8" s="58"/>
      <c r="N8" s="58"/>
      <c r="O8" s="58"/>
      <c r="P8" s="58"/>
      <c r="Q8" s="58"/>
      <c r="R8" s="58"/>
      <c r="S8" s="58"/>
    </row>
    <row r="9" spans="1:33" s="69" customFormat="1" ht="15.75" customHeight="1" thickBot="1" x14ac:dyDescent="0.3">
      <c r="A9" s="698"/>
      <c r="B9" s="1878"/>
      <c r="C9" s="1878"/>
      <c r="D9" s="1878"/>
      <c r="E9" s="1878"/>
      <c r="F9" s="1878"/>
      <c r="G9" s="1878"/>
      <c r="H9" s="1878"/>
      <c r="I9" s="1878"/>
      <c r="J9" s="1878"/>
      <c r="K9" s="1878"/>
      <c r="L9" s="58"/>
      <c r="M9" s="58"/>
      <c r="N9" s="58"/>
      <c r="O9" s="58"/>
      <c r="P9" s="58"/>
      <c r="Q9" s="58"/>
      <c r="R9" s="58"/>
      <c r="S9" s="58"/>
    </row>
    <row r="10" spans="1:33" ht="15.75" x14ac:dyDescent="0.25">
      <c r="B10" s="966"/>
      <c r="C10" s="967"/>
      <c r="D10" s="967"/>
      <c r="E10" s="967"/>
      <c r="F10" s="967"/>
      <c r="G10" s="967"/>
      <c r="H10" s="967"/>
      <c r="I10" s="967"/>
      <c r="J10" s="967"/>
      <c r="K10" s="968"/>
      <c r="L10" s="969"/>
    </row>
    <row r="11" spans="1:33" ht="39.75" customHeight="1" thickBot="1" x14ac:dyDescent="0.25">
      <c r="B11" s="2176" t="s">
        <v>438</v>
      </c>
      <c r="C11" s="2177"/>
      <c r="D11" s="2177"/>
      <c r="E11" s="2177"/>
      <c r="F11" s="2177"/>
      <c r="G11" s="2177"/>
      <c r="H11" s="2177"/>
      <c r="I11" s="2177"/>
      <c r="J11" s="2177"/>
      <c r="K11" s="2178"/>
      <c r="L11" s="970"/>
    </row>
    <row r="12" spans="1:33" ht="4.5" customHeight="1" thickBot="1" x14ac:dyDescent="0.3">
      <c r="B12" s="2179"/>
      <c r="C12" s="2180"/>
      <c r="D12" s="2180"/>
      <c r="E12" s="2180"/>
      <c r="F12" s="2180"/>
      <c r="G12" s="2180"/>
      <c r="H12" s="2180"/>
      <c r="I12" s="2180"/>
      <c r="J12" s="2180"/>
      <c r="K12" s="2181"/>
      <c r="L12" s="961"/>
    </row>
    <row r="13" spans="1:33" s="971" customFormat="1" ht="44.25" customHeight="1" thickBot="1" x14ac:dyDescent="0.25">
      <c r="B13" s="972" t="s">
        <v>439</v>
      </c>
      <c r="C13" s="2182" t="s">
        <v>32</v>
      </c>
      <c r="D13" s="2183"/>
      <c r="E13" s="2183"/>
      <c r="F13" s="973" t="s">
        <v>440</v>
      </c>
      <c r="G13" s="974" t="s">
        <v>441</v>
      </c>
      <c r="H13" s="974" t="s">
        <v>442</v>
      </c>
      <c r="I13" s="973" t="s">
        <v>443</v>
      </c>
      <c r="J13" s="973" t="s">
        <v>0</v>
      </c>
      <c r="K13" s="975" t="s">
        <v>444</v>
      </c>
      <c r="L13" s="976"/>
    </row>
    <row r="14" spans="1:33" ht="18.75" x14ac:dyDescent="0.3">
      <c r="B14" s="977"/>
      <c r="C14" s="2166" t="s">
        <v>445</v>
      </c>
      <c r="D14" s="2166"/>
      <c r="E14" s="2166"/>
      <c r="F14" s="2166"/>
      <c r="G14" s="2166"/>
      <c r="H14" s="978"/>
      <c r="I14" s="979"/>
      <c r="J14" s="980"/>
      <c r="K14" s="981"/>
      <c r="L14" s="982"/>
    </row>
    <row r="15" spans="1:33" ht="21" hidden="1" customHeight="1" x14ac:dyDescent="0.3">
      <c r="B15" s="2156" t="s">
        <v>446</v>
      </c>
      <c r="C15" s="2167" t="str">
        <f>CONCATENATE("Проходка шурфов глубиной ",H15, "м,II категории породы.")</f>
        <v>Проходка шурфов глубиной 7м,II категории породы.</v>
      </c>
      <c r="D15" s="2168"/>
      <c r="E15" s="2169"/>
      <c r="F15" s="983" t="s">
        <v>447</v>
      </c>
      <c r="G15" s="984" t="s">
        <v>448</v>
      </c>
      <c r="H15" s="985">
        <v>7</v>
      </c>
      <c r="I15" s="986">
        <v>114</v>
      </c>
      <c r="J15" s="987" t="str">
        <f>CONCATENATE(H15,"*",I15,"*",H17,"*",H16)</f>
        <v>7*114*0*1</v>
      </c>
      <c r="K15" s="988">
        <f>ROUND(H15*I15*H16*H17,2)</f>
        <v>0</v>
      </c>
      <c r="L15" s="989" t="s">
        <v>449</v>
      </c>
      <c r="M15" s="990"/>
    </row>
    <row r="16" spans="1:33" ht="42" hidden="1" customHeight="1" x14ac:dyDescent="0.3">
      <c r="B16" s="2157"/>
      <c r="C16" s="2170"/>
      <c r="D16" s="2171"/>
      <c r="E16" s="2172"/>
      <c r="F16" s="991" t="s">
        <v>450</v>
      </c>
      <c r="G16" s="992"/>
      <c r="H16" s="993">
        <v>1</v>
      </c>
      <c r="I16" s="994"/>
      <c r="J16" s="995"/>
      <c r="K16" s="996"/>
      <c r="L16" s="997">
        <v>1.3</v>
      </c>
      <c r="M16" s="990"/>
    </row>
    <row r="17" spans="2:13" ht="23.25" hidden="1" customHeight="1" x14ac:dyDescent="0.3">
      <c r="B17" s="2157"/>
      <c r="C17" s="2173"/>
      <c r="D17" s="2174"/>
      <c r="E17" s="2175"/>
      <c r="F17" s="998" t="s">
        <v>451</v>
      </c>
      <c r="G17" s="992" t="s">
        <v>452</v>
      </c>
      <c r="H17" s="992">
        <v>0</v>
      </c>
      <c r="I17" s="994"/>
      <c r="J17" s="995"/>
      <c r="K17" s="996"/>
      <c r="L17" s="999"/>
      <c r="M17" s="990"/>
    </row>
    <row r="18" spans="2:13" ht="24" customHeight="1" x14ac:dyDescent="0.3">
      <c r="B18" s="2157"/>
      <c r="C18" s="2167" t="str">
        <f>CONCATENATE("Проходка шурфов глубиной ",H18, "м,II категории породы.")</f>
        <v>Проходка шурфов глубиной 5м,II категории породы.</v>
      </c>
      <c r="D18" s="2168"/>
      <c r="E18" s="2169"/>
      <c r="F18" s="983" t="s">
        <v>453</v>
      </c>
      <c r="G18" s="984" t="s">
        <v>448</v>
      </c>
      <c r="H18" s="985">
        <v>5</v>
      </c>
      <c r="I18" s="986">
        <v>60.3</v>
      </c>
      <c r="J18" s="987" t="str">
        <f>CONCATENATE(H18,"*",I18,"*",H20,"*",H19)</f>
        <v>5*60,3*1*1,3</v>
      </c>
      <c r="K18" s="1000">
        <f>ROUND(H18*I18*H19*H20,2)</f>
        <v>391.95</v>
      </c>
      <c r="L18" s="989" t="s">
        <v>454</v>
      </c>
      <c r="M18" s="990"/>
    </row>
    <row r="19" spans="2:13" ht="42.75" customHeight="1" x14ac:dyDescent="0.3">
      <c r="B19" s="2157"/>
      <c r="C19" s="2170"/>
      <c r="D19" s="2171"/>
      <c r="E19" s="2172"/>
      <c r="F19" s="991" t="s">
        <v>450</v>
      </c>
      <c r="G19" s="992"/>
      <c r="H19" s="993">
        <v>1.3</v>
      </c>
      <c r="I19" s="994"/>
      <c r="J19" s="995"/>
      <c r="K19" s="1001"/>
      <c r="L19" s="997">
        <v>1.3</v>
      </c>
      <c r="M19" s="990"/>
    </row>
    <row r="20" spans="2:13" ht="21.75" customHeight="1" x14ac:dyDescent="0.3">
      <c r="B20" s="2157"/>
      <c r="C20" s="2173"/>
      <c r="D20" s="2174"/>
      <c r="E20" s="2175"/>
      <c r="F20" s="998" t="s">
        <v>451</v>
      </c>
      <c r="G20" s="1002" t="s">
        <v>452</v>
      </c>
      <c r="H20" s="1003">
        <v>1</v>
      </c>
      <c r="I20" s="994"/>
      <c r="J20" s="995"/>
      <c r="K20" s="1001"/>
      <c r="L20" s="999"/>
      <c r="M20" s="990"/>
    </row>
    <row r="21" spans="2:13" ht="24" hidden="1" customHeight="1" x14ac:dyDescent="0.3">
      <c r="B21" s="2157"/>
      <c r="C21" s="2167" t="str">
        <f>CONCATENATE("Проходка шурфов глубиной ",H21, "м,II категории породы.")</f>
        <v>Проходка шурфов глубиной 2м,II категории породы.</v>
      </c>
      <c r="D21" s="2168"/>
      <c r="E21" s="2169"/>
      <c r="F21" s="983" t="s">
        <v>453</v>
      </c>
      <c r="G21" s="984" t="s">
        <v>448</v>
      </c>
      <c r="H21" s="1004">
        <v>2</v>
      </c>
      <c r="I21" s="1005">
        <v>34.4</v>
      </c>
      <c r="J21" s="1006" t="str">
        <f>CONCATENATE(H21,"*",I21,"*",H23,"*",H22)</f>
        <v>2*34,4*0*1,3</v>
      </c>
      <c r="K21" s="1007">
        <f>ROUND(H21*I21*H22*H23,2)</f>
        <v>0</v>
      </c>
      <c r="L21" s="989" t="s">
        <v>455</v>
      </c>
      <c r="M21" s="990"/>
    </row>
    <row r="22" spans="2:13" ht="42.75" hidden="1" customHeight="1" x14ac:dyDescent="0.3">
      <c r="B22" s="2157"/>
      <c r="C22" s="2170"/>
      <c r="D22" s="2171"/>
      <c r="E22" s="2172"/>
      <c r="F22" s="991" t="s">
        <v>450</v>
      </c>
      <c r="G22" s="992"/>
      <c r="H22" s="993">
        <v>1.3</v>
      </c>
      <c r="I22" s="994"/>
      <c r="J22" s="995"/>
      <c r="K22" s="1001"/>
      <c r="L22" s="997">
        <v>1.3</v>
      </c>
      <c r="M22" s="990"/>
    </row>
    <row r="23" spans="2:13" ht="21.75" hidden="1" customHeight="1" x14ac:dyDescent="0.3">
      <c r="B23" s="2158"/>
      <c r="C23" s="2173"/>
      <c r="D23" s="2174"/>
      <c r="E23" s="2175"/>
      <c r="F23" s="998" t="s">
        <v>451</v>
      </c>
      <c r="G23" s="1002" t="s">
        <v>452</v>
      </c>
      <c r="H23" s="1003">
        <v>0</v>
      </c>
      <c r="I23" s="994"/>
      <c r="J23" s="995"/>
      <c r="K23" s="1001"/>
      <c r="L23" s="999"/>
      <c r="M23" s="990"/>
    </row>
    <row r="24" spans="2:13" ht="42" hidden="1" customHeight="1" x14ac:dyDescent="0.25">
      <c r="B24" s="2156">
        <v>2</v>
      </c>
      <c r="C24" s="2140" t="str">
        <f>CONCATENATE("Крепление шурфов в устойчивых породах сечением 1,25м2, глубиной ",H15,"м")</f>
        <v>Крепление шурфов в устойчивых породах сечением 1,25м2, глубиной 7м</v>
      </c>
      <c r="D24" s="2141"/>
      <c r="E24" s="2142"/>
      <c r="F24" s="1008" t="s">
        <v>456</v>
      </c>
      <c r="G24" s="1009" t="s">
        <v>448</v>
      </c>
      <c r="H24" s="1010">
        <f>H15*H17</f>
        <v>0</v>
      </c>
      <c r="I24" s="1011">
        <v>72.099999999999994</v>
      </c>
      <c r="J24" s="1012" t="str">
        <f>CONCATENATE(I24,"*",H24)</f>
        <v>72,1*0</v>
      </c>
      <c r="K24" s="1013">
        <f>ROUND(H24*I24,2)*0</f>
        <v>0</v>
      </c>
      <c r="L24" s="989" t="s">
        <v>449</v>
      </c>
    </row>
    <row r="25" spans="2:13" ht="36.75" customHeight="1" x14ac:dyDescent="0.25">
      <c r="B25" s="2157"/>
      <c r="C25" s="2140" t="str">
        <f>CONCATENATE("Крепление шурфов в устойчивых породах сечением 1,25м2, глубиной ",H18,"м")</f>
        <v>Крепление шурфов в устойчивых породах сечением 1,25м2, глубиной 5м</v>
      </c>
      <c r="D25" s="2141"/>
      <c r="E25" s="2142"/>
      <c r="F25" s="1008" t="s">
        <v>457</v>
      </c>
      <c r="G25" s="1009" t="s">
        <v>448</v>
      </c>
      <c r="H25" s="1010">
        <f>H20*H18</f>
        <v>5</v>
      </c>
      <c r="I25" s="1011">
        <v>67.8</v>
      </c>
      <c r="J25" s="1012" t="str">
        <f>CONCATENATE(I25,"*",H25)</f>
        <v>67,8*5</v>
      </c>
      <c r="K25" s="1013">
        <f>ROUND(H25*I25,2)</f>
        <v>339</v>
      </c>
      <c r="L25" s="989" t="s">
        <v>454</v>
      </c>
    </row>
    <row r="26" spans="2:13" ht="36.75" hidden="1" customHeight="1" x14ac:dyDescent="0.25">
      <c r="B26" s="2158"/>
      <c r="C26" s="2140" t="str">
        <f>CONCATENATE("Крепление шурфов в устойчивых породах сечением 1,25м2, глубиной ",H21,"м")</f>
        <v>Крепление шурфов в устойчивых породах сечением 1,25м2, глубиной 2м</v>
      </c>
      <c r="D26" s="2141"/>
      <c r="E26" s="2142"/>
      <c r="F26" s="1008" t="s">
        <v>457</v>
      </c>
      <c r="G26" s="1009" t="s">
        <v>448</v>
      </c>
      <c r="H26" s="1014">
        <f>H21*H23</f>
        <v>0</v>
      </c>
      <c r="I26" s="1015">
        <v>52.2</v>
      </c>
      <c r="J26" s="1016" t="str">
        <f>CONCATENATE(I26,"*",H26)</f>
        <v>52,2*0</v>
      </c>
      <c r="K26" s="1017">
        <f>ROUND(H26*I26,2)</f>
        <v>0</v>
      </c>
      <c r="L26" s="989" t="s">
        <v>458</v>
      </c>
    </row>
    <row r="27" spans="2:13" ht="27" customHeight="1" x14ac:dyDescent="0.2">
      <c r="B27" s="2146">
        <v>3</v>
      </c>
      <c r="C27" s="2160" t="s">
        <v>459</v>
      </c>
      <c r="D27" s="2161"/>
      <c r="E27" s="2162"/>
      <c r="F27" s="1018" t="s">
        <v>460</v>
      </c>
      <c r="G27" s="1019" t="s">
        <v>461</v>
      </c>
      <c r="H27" s="1019">
        <f>H17+H20+H23</f>
        <v>1</v>
      </c>
      <c r="I27" s="1020">
        <v>8.5</v>
      </c>
      <c r="J27" s="1021" t="str">
        <f>CONCATENATE(I27,"*",H27,"*",H28)</f>
        <v>8,5*1*0,5</v>
      </c>
      <c r="K27" s="1022">
        <f>ROUND(H27*I27*H28,2)</f>
        <v>4.25</v>
      </c>
      <c r="L27" s="1023"/>
    </row>
    <row r="28" spans="2:13" ht="30" customHeight="1" x14ac:dyDescent="0.2">
      <c r="B28" s="2159"/>
      <c r="C28" s="2163"/>
      <c r="D28" s="2164"/>
      <c r="E28" s="2165"/>
      <c r="F28" s="1024" t="s">
        <v>462</v>
      </c>
      <c r="G28" s="1009"/>
      <c r="H28" s="1014">
        <v>0.5</v>
      </c>
      <c r="I28" s="1025"/>
      <c r="J28" s="1026"/>
      <c r="K28" s="1027"/>
      <c r="L28" s="1023"/>
    </row>
    <row r="29" spans="2:13" ht="33.75" customHeight="1" x14ac:dyDescent="0.2">
      <c r="B29" s="1028">
        <v>4</v>
      </c>
      <c r="C29" s="2137" t="s">
        <v>463</v>
      </c>
      <c r="D29" s="2138"/>
      <c r="E29" s="2139"/>
      <c r="F29" s="1018" t="s">
        <v>460</v>
      </c>
      <c r="G29" s="1009" t="s">
        <v>461</v>
      </c>
      <c r="H29" s="1009">
        <f>H27</f>
        <v>1</v>
      </c>
      <c r="I29" s="1029">
        <v>8.5</v>
      </c>
      <c r="J29" s="1012" t="str">
        <f>CONCATENATE(I29,"*",H29)</f>
        <v>8,5*1</v>
      </c>
      <c r="K29" s="1022">
        <f>ROUND(H29*I29,2)</f>
        <v>8.5</v>
      </c>
      <c r="L29" s="1023"/>
    </row>
    <row r="30" spans="2:13" ht="20.25" hidden="1" customHeight="1" x14ac:dyDescent="0.25">
      <c r="B30" s="1030">
        <v>5</v>
      </c>
      <c r="C30" s="2140" t="s">
        <v>464</v>
      </c>
      <c r="D30" s="2141"/>
      <c r="E30" s="2142"/>
      <c r="F30" s="1008" t="s">
        <v>465</v>
      </c>
      <c r="G30" s="1009" t="s">
        <v>466</v>
      </c>
      <c r="H30" s="1010">
        <f>H29*2</f>
        <v>2</v>
      </c>
      <c r="I30" s="1029">
        <v>37.4</v>
      </c>
      <c r="J30" s="1012" t="str">
        <f>CONCATENATE(I30,"*",H30)</f>
        <v>37,4*2</v>
      </c>
      <c r="K30" s="1022">
        <f>ROUND(H30*I30,2)*0</f>
        <v>0</v>
      </c>
      <c r="L30" s="1031"/>
    </row>
    <row r="31" spans="2:13" ht="15.75" x14ac:dyDescent="0.25">
      <c r="B31" s="1032"/>
      <c r="C31" s="1033" t="s">
        <v>467</v>
      </c>
      <c r="D31" s="1034"/>
      <c r="E31" s="1034"/>
      <c r="F31" s="1034"/>
      <c r="G31" s="1035"/>
      <c r="H31" s="1035"/>
      <c r="I31" s="1036"/>
      <c r="J31" s="1037"/>
      <c r="K31" s="1038">
        <f>ROUND(SUM(K15:K30),2)</f>
        <v>743.7</v>
      </c>
      <c r="L31" s="1039"/>
    </row>
    <row r="32" spans="2:13" ht="30.75" customHeight="1" x14ac:dyDescent="0.25">
      <c r="B32" s="1032"/>
      <c r="C32" s="2143" t="s">
        <v>468</v>
      </c>
      <c r="D32" s="2143"/>
      <c r="E32" s="2143"/>
      <c r="F32" s="1040" t="s">
        <v>469</v>
      </c>
      <c r="G32" s="1035"/>
      <c r="H32" s="1041">
        <v>0.85</v>
      </c>
      <c r="I32" s="1036"/>
      <c r="J32" s="1037"/>
      <c r="K32" s="1042">
        <f>ROUND(K31*H32,2)</f>
        <v>632.15</v>
      </c>
      <c r="L32" s="1039"/>
    </row>
    <row r="33" spans="2:18" s="485" customFormat="1" ht="33.75" customHeight="1" x14ac:dyDescent="0.3">
      <c r="B33" s="1043"/>
      <c r="C33" s="2144" t="s">
        <v>470</v>
      </c>
      <c r="D33" s="2144"/>
      <c r="E33" s="2145"/>
      <c r="F33" s="1044" t="s">
        <v>471</v>
      </c>
      <c r="G33" s="1045" t="s">
        <v>472</v>
      </c>
      <c r="H33" s="1046">
        <v>18.75</v>
      </c>
      <c r="I33" s="1047"/>
      <c r="J33" s="1048"/>
      <c r="K33" s="1049">
        <f>ROUND(K32*(1+H33/100),2)</f>
        <v>750.68</v>
      </c>
      <c r="L33" s="1050" t="s">
        <v>473</v>
      </c>
    </row>
    <row r="34" spans="2:18" ht="18" customHeight="1" x14ac:dyDescent="0.25">
      <c r="B34" s="2146">
        <v>6</v>
      </c>
      <c r="C34" s="2116" t="s">
        <v>474</v>
      </c>
      <c r="D34" s="2117"/>
      <c r="E34" s="2118"/>
      <c r="F34" s="1051" t="s">
        <v>475</v>
      </c>
      <c r="G34" s="1052" t="s">
        <v>472</v>
      </c>
      <c r="H34" s="1053">
        <v>6</v>
      </c>
      <c r="I34" s="1052"/>
      <c r="J34" s="987" t="str">
        <f>CONCATENATE(K33,"*",H34/100,"*",H35)</f>
        <v>750,68*0,06*2,5</v>
      </c>
      <c r="K34" s="1054">
        <f>ROUND(K33*H34/100*H35,2)</f>
        <v>112.6</v>
      </c>
      <c r="L34" s="1055"/>
    </row>
    <row r="35" spans="2:18" ht="21.75" customHeight="1" thickBot="1" x14ac:dyDescent="0.35">
      <c r="B35" s="2147"/>
      <c r="C35" s="2148"/>
      <c r="D35" s="2149"/>
      <c r="E35" s="2150"/>
      <c r="F35" s="1056" t="s">
        <v>476</v>
      </c>
      <c r="G35" s="1057"/>
      <c r="H35" s="1058">
        <v>2.5</v>
      </c>
      <c r="I35" s="1057"/>
      <c r="J35" s="1057"/>
      <c r="K35" s="1059"/>
      <c r="L35" s="1050" t="s">
        <v>473</v>
      </c>
    </row>
    <row r="36" spans="2:18" ht="16.5" thickBot="1" x14ac:dyDescent="0.3">
      <c r="B36" s="1060"/>
      <c r="C36" s="1061" t="s">
        <v>477</v>
      </c>
      <c r="D36" s="1061"/>
      <c r="E36" s="1061"/>
      <c r="F36" s="1061"/>
      <c r="G36" s="1061"/>
      <c r="H36" s="1061"/>
      <c r="I36" s="1061"/>
      <c r="J36" s="1061"/>
      <c r="K36" s="1062">
        <f>SUM(K33:K35)</f>
        <v>863.28</v>
      </c>
      <c r="L36" s="1063"/>
    </row>
    <row r="37" spans="2:18" ht="18.75" x14ac:dyDescent="0.3">
      <c r="B37" s="1064"/>
      <c r="C37" s="1065" t="s">
        <v>478</v>
      </c>
      <c r="D37" s="1066"/>
      <c r="E37" s="1066"/>
      <c r="F37" s="1066"/>
      <c r="G37" s="1066"/>
      <c r="H37" s="1066"/>
      <c r="I37" s="1066"/>
      <c r="J37" s="1066"/>
      <c r="K37" s="1067"/>
      <c r="L37" s="1068"/>
    </row>
    <row r="38" spans="2:18" s="485" customFormat="1" ht="43.5" customHeight="1" thickBot="1" x14ac:dyDescent="0.25">
      <c r="B38" s="1069">
        <v>7</v>
      </c>
      <c r="C38" s="2151" t="s">
        <v>479</v>
      </c>
      <c r="D38" s="2152"/>
      <c r="E38" s="2153"/>
      <c r="F38" s="1070" t="s">
        <v>480</v>
      </c>
      <c r="G38" s="984" t="s">
        <v>452</v>
      </c>
      <c r="H38" s="984">
        <f>H30</f>
        <v>2</v>
      </c>
      <c r="I38" s="1071">
        <v>82.1</v>
      </c>
      <c r="J38" s="1021" t="str">
        <f>CONCATENATE(I38,"*",H38)</f>
        <v>82,1*2</v>
      </c>
      <c r="K38" s="1022">
        <f>ROUND(H38*I38,2)</f>
        <v>164.2</v>
      </c>
      <c r="L38" s="1072"/>
      <c r="R38" s="485" t="s">
        <v>481</v>
      </c>
    </row>
    <row r="39" spans="2:18" s="485" customFormat="1" ht="43.5" hidden="1" customHeight="1" x14ac:dyDescent="0.2">
      <c r="B39" s="1069"/>
      <c r="C39" s="2151" t="s">
        <v>479</v>
      </c>
      <c r="D39" s="2152"/>
      <c r="E39" s="2153"/>
      <c r="F39" s="1070" t="s">
        <v>482</v>
      </c>
      <c r="G39" s="984" t="s">
        <v>452</v>
      </c>
      <c r="H39" s="984">
        <f>H30</f>
        <v>2</v>
      </c>
      <c r="I39" s="1071">
        <v>97.3</v>
      </c>
      <c r="J39" s="1021" t="str">
        <f>CONCATENATE(I39,"*",H39)</f>
        <v>97,3*2</v>
      </c>
      <c r="K39" s="1022">
        <f>ROUND(H39*I39,2)*0</f>
        <v>0</v>
      </c>
      <c r="L39" s="1072"/>
      <c r="R39" s="485" t="s">
        <v>481</v>
      </c>
    </row>
    <row r="40" spans="2:18" s="485" customFormat="1" ht="46.5" hidden="1" customHeight="1" thickBot="1" x14ac:dyDescent="0.25">
      <c r="B40" s="1069"/>
      <c r="C40" s="2151" t="s">
        <v>483</v>
      </c>
      <c r="D40" s="2152"/>
      <c r="E40" s="2153"/>
      <c r="F40" s="1070" t="s">
        <v>484</v>
      </c>
      <c r="G40" s="984" t="s">
        <v>452</v>
      </c>
      <c r="H40" s="984">
        <f>H30</f>
        <v>2</v>
      </c>
      <c r="I40" s="1071">
        <v>125.9</v>
      </c>
      <c r="J40" s="1021" t="str">
        <f>CONCATENATE(I40,"*",H40)</f>
        <v>125,9*2</v>
      </c>
      <c r="K40" s="1022">
        <f>ROUND(H40*I40,2)*0</f>
        <v>0</v>
      </c>
      <c r="L40" s="1072"/>
      <c r="R40" s="485" t="s">
        <v>481</v>
      </c>
    </row>
    <row r="41" spans="2:18" ht="16.5" thickBot="1" x14ac:dyDescent="0.3">
      <c r="B41" s="1073"/>
      <c r="C41" s="2154" t="s">
        <v>485</v>
      </c>
      <c r="D41" s="2155"/>
      <c r="E41" s="2155"/>
      <c r="F41" s="1061"/>
      <c r="G41" s="1074"/>
      <c r="H41" s="1061"/>
      <c r="I41" s="1061"/>
      <c r="J41" s="1061"/>
      <c r="K41" s="1062">
        <f>SUM(K38:K40)</f>
        <v>164.2</v>
      </c>
      <c r="L41" s="1063"/>
    </row>
    <row r="42" spans="2:18" ht="18.75" x14ac:dyDescent="0.3">
      <c r="B42" s="1064"/>
      <c r="C42" s="1065" t="s">
        <v>486</v>
      </c>
      <c r="D42" s="1066"/>
      <c r="E42" s="1066"/>
      <c r="F42" s="1066"/>
      <c r="G42" s="1075"/>
      <c r="H42" s="1066"/>
      <c r="I42" s="1066"/>
      <c r="J42" s="1066"/>
      <c r="K42" s="1067"/>
      <c r="L42" s="1068"/>
    </row>
    <row r="43" spans="2:18" s="485" customFormat="1" ht="52.5" customHeight="1" x14ac:dyDescent="0.2">
      <c r="B43" s="1076">
        <v>8</v>
      </c>
      <c r="C43" s="2110" t="s">
        <v>487</v>
      </c>
      <c r="D43" s="2111"/>
      <c r="E43" s="2112"/>
      <c r="F43" s="1077" t="s">
        <v>488</v>
      </c>
      <c r="G43" s="1078" t="s">
        <v>15</v>
      </c>
      <c r="H43" s="1079">
        <f>H15*H17+H18*H20</f>
        <v>5</v>
      </c>
      <c r="I43" s="1080">
        <v>9</v>
      </c>
      <c r="J43" s="1081" t="str">
        <f>CONCATENATE(H43,"*",I43)</f>
        <v>5*9</v>
      </c>
      <c r="K43" s="1082">
        <f>ROUND(H43*I43,2)</f>
        <v>45</v>
      </c>
      <c r="L43" s="1072"/>
    </row>
    <row r="44" spans="2:18" s="485" customFormat="1" ht="36.75" customHeight="1" x14ac:dyDescent="0.2">
      <c r="B44" s="2125">
        <v>9</v>
      </c>
      <c r="C44" s="2128" t="s">
        <v>489</v>
      </c>
      <c r="D44" s="2129"/>
      <c r="E44" s="2130"/>
      <c r="F44" s="1083" t="s">
        <v>490</v>
      </c>
      <c r="G44" s="1084" t="s">
        <v>448</v>
      </c>
      <c r="H44" s="1019">
        <f>H15*H17+H18*H20</f>
        <v>5</v>
      </c>
      <c r="I44" s="1085">
        <v>8.1999999999999993</v>
      </c>
      <c r="J44" s="1086" t="str">
        <f>CONCATENATE(I44,"*",H44,"*",H45,"*",H46)</f>
        <v>8,2*5*1,2*1,3</v>
      </c>
      <c r="K44" s="1087">
        <f>ROUND(I44*H44*H45*H46,2)</f>
        <v>63.96</v>
      </c>
      <c r="L44" s="1088"/>
    </row>
    <row r="45" spans="2:18" s="485" customFormat="1" ht="48" customHeight="1" x14ac:dyDescent="0.2">
      <c r="B45" s="2126"/>
      <c r="C45" s="2131"/>
      <c r="D45" s="2132"/>
      <c r="E45" s="2133"/>
      <c r="F45" s="991" t="s">
        <v>491</v>
      </c>
      <c r="G45" s="993"/>
      <c r="H45" s="1089">
        <v>1.2</v>
      </c>
      <c r="I45" s="1090"/>
      <c r="J45" s="1091"/>
      <c r="K45" s="1092"/>
      <c r="L45" s="1088">
        <v>1.2</v>
      </c>
    </row>
    <row r="46" spans="2:18" s="485" customFormat="1" ht="46.5" customHeight="1" x14ac:dyDescent="0.2">
      <c r="B46" s="2127"/>
      <c r="C46" s="2134"/>
      <c r="D46" s="2135"/>
      <c r="E46" s="2136"/>
      <c r="F46" s="991" t="s">
        <v>492</v>
      </c>
      <c r="G46" s="1003"/>
      <c r="H46" s="1009">
        <v>1.3</v>
      </c>
      <c r="I46" s="1093"/>
      <c r="J46" s="1094"/>
      <c r="K46" s="1095"/>
      <c r="L46" s="1088">
        <v>1.3</v>
      </c>
    </row>
    <row r="47" spans="2:18" s="485" customFormat="1" ht="30.75" customHeight="1" x14ac:dyDescent="0.2">
      <c r="B47" s="1076">
        <v>10</v>
      </c>
      <c r="C47" s="2110" t="s">
        <v>493</v>
      </c>
      <c r="D47" s="2111"/>
      <c r="E47" s="2112"/>
      <c r="F47" s="1077" t="s">
        <v>494</v>
      </c>
      <c r="G47" s="1078" t="s">
        <v>472</v>
      </c>
      <c r="H47" s="1096"/>
      <c r="I47" s="1097">
        <v>20</v>
      </c>
      <c r="J47" s="1098" t="str">
        <f>CONCATENATE(K41,"*",I47/100)</f>
        <v>164,2*0,2</v>
      </c>
      <c r="K47" s="1099">
        <f>ROUND(K41*I47/100,2)</f>
        <v>32.840000000000003</v>
      </c>
      <c r="L47" s="1088"/>
    </row>
    <row r="48" spans="2:18" s="485" customFormat="1" ht="15.75" x14ac:dyDescent="0.2">
      <c r="B48" s="1076"/>
      <c r="C48" s="2113" t="s">
        <v>495</v>
      </c>
      <c r="D48" s="2114"/>
      <c r="E48" s="2115"/>
      <c r="F48" s="1100"/>
      <c r="G48" s="1101"/>
      <c r="H48" s="1102"/>
      <c r="I48" s="1103"/>
      <c r="J48" s="1081"/>
      <c r="K48" s="1104">
        <f>SUM(K43:K47)</f>
        <v>141.80000000000001</v>
      </c>
      <c r="L48" s="1105"/>
    </row>
    <row r="49" spans="2:12" s="485" customFormat="1" ht="19.5" thickBot="1" x14ac:dyDescent="0.35">
      <c r="B49" s="1106">
        <v>11</v>
      </c>
      <c r="C49" s="2116" t="s">
        <v>496</v>
      </c>
      <c r="D49" s="2117"/>
      <c r="E49" s="2118"/>
      <c r="F49" s="1083" t="s">
        <v>497</v>
      </c>
      <c r="G49" s="1045" t="s">
        <v>472</v>
      </c>
      <c r="H49" s="1107"/>
      <c r="I49" s="1108">
        <v>21</v>
      </c>
      <c r="J49" s="1109" t="str">
        <f>CONCATENATE(K48,"*",I49/100)</f>
        <v>141,8*0,21</v>
      </c>
      <c r="K49" s="1110">
        <f>ROUND(K48*I49/100,2)</f>
        <v>29.78</v>
      </c>
      <c r="L49" s="1050" t="s">
        <v>473</v>
      </c>
    </row>
    <row r="50" spans="2:12" s="485" customFormat="1" ht="33.75" customHeight="1" thickBot="1" x14ac:dyDescent="0.25">
      <c r="B50" s="1111"/>
      <c r="C50" s="2119" t="s">
        <v>498</v>
      </c>
      <c r="D50" s="2120"/>
      <c r="E50" s="2121"/>
      <c r="F50" s="1112"/>
      <c r="G50" s="1113"/>
      <c r="H50" s="1112"/>
      <c r="I50" s="1112"/>
      <c r="J50" s="1113"/>
      <c r="K50" s="1114">
        <f>SUM(K48:K49)</f>
        <v>171.58</v>
      </c>
      <c r="L50" s="1115"/>
    </row>
    <row r="51" spans="2:12" s="485" customFormat="1" ht="16.5" thickBot="1" x14ac:dyDescent="0.25">
      <c r="B51" s="1111">
        <v>18</v>
      </c>
      <c r="C51" s="2122" t="s">
        <v>562</v>
      </c>
      <c r="D51" s="2123"/>
      <c r="E51" s="2124"/>
      <c r="F51" s="1116"/>
      <c r="G51" s="1117"/>
      <c r="H51" s="1116"/>
      <c r="I51" s="1116"/>
      <c r="J51" s="1117"/>
      <c r="K51" s="1118">
        <f>K36+K41+K50</f>
        <v>1199.06</v>
      </c>
      <c r="L51" s="1105"/>
    </row>
    <row r="52" spans="2:12" ht="15.75" x14ac:dyDescent="0.25">
      <c r="B52" s="1122"/>
      <c r="C52" s="1123"/>
      <c r="D52" s="69"/>
      <c r="G52" s="1124"/>
      <c r="H52" s="1124"/>
      <c r="I52" s="1125"/>
      <c r="J52" s="1126"/>
      <c r="K52" s="1119"/>
      <c r="L52" s="961"/>
    </row>
    <row r="53" spans="2:12" ht="15.75" x14ac:dyDescent="0.25">
      <c r="B53" s="1122"/>
      <c r="C53" s="1127"/>
      <c r="D53" s="69"/>
      <c r="G53" s="1128"/>
      <c r="H53" s="1128"/>
      <c r="I53" s="1128"/>
      <c r="J53" s="1129"/>
      <c r="K53" s="1119"/>
      <c r="L53" s="961"/>
    </row>
    <row r="54" spans="2:12" ht="15.75" x14ac:dyDescent="0.25">
      <c r="B54" s="1127"/>
      <c r="C54" s="1123"/>
      <c r="D54" s="69"/>
      <c r="G54" s="1130"/>
      <c r="H54" s="1130"/>
      <c r="I54" s="1130"/>
      <c r="J54" s="1119"/>
      <c r="K54" s="1119"/>
      <c r="L54" s="961"/>
    </row>
    <row r="55" spans="2:12" ht="15.75" x14ac:dyDescent="0.25">
      <c r="B55" s="2109"/>
      <c r="C55" s="2109"/>
      <c r="D55" s="69"/>
      <c r="E55" s="1131"/>
      <c r="G55" s="1132"/>
      <c r="H55" s="1132"/>
      <c r="I55" s="1133"/>
      <c r="J55" s="961"/>
      <c r="K55" s="961"/>
      <c r="L55" s="961"/>
    </row>
    <row r="56" spans="2:12" ht="15.75" x14ac:dyDescent="0.25">
      <c r="B56" s="1134"/>
      <c r="C56" s="1121"/>
      <c r="D56" s="1120"/>
      <c r="E56" s="961"/>
      <c r="F56" s="961"/>
      <c r="G56" s="961"/>
      <c r="H56" s="961"/>
      <c r="I56" s="961"/>
      <c r="J56" s="961"/>
      <c r="K56" s="961"/>
      <c r="L56" s="961"/>
    </row>
    <row r="57" spans="2:12" ht="15.75" x14ac:dyDescent="0.25">
      <c r="B57" s="1134"/>
      <c r="C57" s="1121"/>
      <c r="D57" s="1120"/>
      <c r="E57" s="961"/>
      <c r="F57" s="961"/>
      <c r="G57" s="961"/>
      <c r="H57" s="961"/>
      <c r="I57" s="961"/>
      <c r="J57" s="961"/>
      <c r="K57" s="961"/>
      <c r="L57" s="961"/>
    </row>
    <row r="58" spans="2:12" ht="15.75" x14ac:dyDescent="0.2">
      <c r="B58" s="1135"/>
      <c r="C58" s="1121"/>
      <c r="D58" s="1120"/>
      <c r="E58" s="961"/>
      <c r="F58" s="961"/>
      <c r="G58" s="961"/>
      <c r="H58" s="961"/>
      <c r="I58" s="961"/>
      <c r="J58" s="961"/>
      <c r="K58" s="961"/>
      <c r="L58" s="961"/>
    </row>
    <row r="59" spans="2:12" x14ac:dyDescent="0.2">
      <c r="B59" s="961"/>
      <c r="C59" s="961"/>
      <c r="D59" s="961"/>
      <c r="E59" s="961"/>
      <c r="F59" s="961"/>
      <c r="G59" s="961"/>
      <c r="H59" s="961"/>
      <c r="I59" s="961"/>
      <c r="J59" s="961"/>
      <c r="K59" s="961"/>
      <c r="L59" s="961"/>
    </row>
    <row r="60" spans="2:12" x14ac:dyDescent="0.2">
      <c r="B60" s="961"/>
      <c r="C60" s="961"/>
      <c r="D60" s="961"/>
      <c r="E60" s="961"/>
      <c r="F60" s="961"/>
      <c r="G60" s="961"/>
      <c r="H60" s="961"/>
      <c r="I60" s="961"/>
      <c r="J60" s="961"/>
      <c r="K60" s="961"/>
      <c r="L60" s="961"/>
    </row>
    <row r="61" spans="2:12" x14ac:dyDescent="0.2">
      <c r="B61" s="961"/>
      <c r="C61" s="961"/>
      <c r="D61" s="961"/>
      <c r="E61" s="961"/>
      <c r="F61" s="961"/>
      <c r="G61" s="961"/>
      <c r="H61" s="961"/>
      <c r="I61" s="961"/>
      <c r="J61" s="961"/>
      <c r="K61" s="961"/>
      <c r="L61" s="961"/>
    </row>
    <row r="62" spans="2:12" x14ac:dyDescent="0.2">
      <c r="B62" s="961"/>
      <c r="C62" s="961"/>
      <c r="D62" s="961"/>
      <c r="E62" s="961"/>
      <c r="F62" s="961"/>
      <c r="G62" s="961"/>
      <c r="H62" s="961"/>
      <c r="I62" s="961"/>
      <c r="J62" s="961"/>
      <c r="K62" s="961"/>
      <c r="L62" s="961"/>
    </row>
    <row r="63" spans="2:12" x14ac:dyDescent="0.2">
      <c r="B63" s="961"/>
      <c r="C63" s="961"/>
      <c r="D63" s="961"/>
      <c r="E63" s="961"/>
      <c r="F63" s="961"/>
      <c r="G63" s="961"/>
      <c r="H63" s="961"/>
      <c r="I63" s="961"/>
      <c r="J63" s="961"/>
      <c r="K63" s="961"/>
      <c r="L63" s="961"/>
    </row>
    <row r="64" spans="2:12" x14ac:dyDescent="0.2">
      <c r="B64" s="961"/>
      <c r="C64" s="961"/>
      <c r="D64" s="961"/>
      <c r="E64" s="961"/>
      <c r="F64" s="961"/>
      <c r="G64" s="961"/>
      <c r="H64" s="961"/>
      <c r="I64" s="961"/>
      <c r="J64" s="961"/>
      <c r="K64" s="961"/>
      <c r="L64" s="961"/>
    </row>
    <row r="65" spans="2:12" x14ac:dyDescent="0.2">
      <c r="B65" s="961"/>
      <c r="C65" s="961"/>
      <c r="D65" s="961"/>
      <c r="E65" s="961"/>
      <c r="F65" s="961"/>
      <c r="G65" s="961"/>
      <c r="H65" s="961"/>
      <c r="I65" s="961"/>
      <c r="J65" s="961"/>
      <c r="K65" s="961"/>
      <c r="L65" s="961"/>
    </row>
    <row r="66" spans="2:12" x14ac:dyDescent="0.2">
      <c r="B66" s="961"/>
      <c r="C66" s="961"/>
      <c r="D66" s="961"/>
      <c r="E66" s="961"/>
      <c r="F66" s="961"/>
      <c r="G66" s="961"/>
      <c r="H66" s="961"/>
      <c r="I66" s="961"/>
      <c r="J66" s="961"/>
      <c r="K66" s="961"/>
      <c r="L66" s="961"/>
    </row>
    <row r="67" spans="2:12" x14ac:dyDescent="0.2">
      <c r="B67" s="961"/>
      <c r="C67" s="961"/>
      <c r="D67" s="961"/>
      <c r="E67" s="961"/>
      <c r="F67" s="961"/>
      <c r="G67" s="961"/>
      <c r="H67" s="961"/>
      <c r="I67" s="961"/>
      <c r="J67" s="961"/>
      <c r="K67" s="961"/>
      <c r="L67" s="961"/>
    </row>
    <row r="68" spans="2:12" x14ac:dyDescent="0.2">
      <c r="B68" s="961"/>
      <c r="C68" s="961"/>
      <c r="D68" s="961"/>
      <c r="E68" s="961"/>
      <c r="F68" s="961"/>
      <c r="G68" s="961"/>
      <c r="H68" s="961"/>
      <c r="I68" s="961"/>
      <c r="J68" s="961"/>
      <c r="K68" s="961"/>
      <c r="L68" s="961"/>
    </row>
    <row r="69" spans="2:12" x14ac:dyDescent="0.2">
      <c r="B69" s="961"/>
      <c r="C69" s="961"/>
      <c r="D69" s="961"/>
      <c r="E69" s="961"/>
      <c r="F69" s="961"/>
      <c r="G69" s="961"/>
      <c r="H69" s="961"/>
      <c r="I69" s="961"/>
      <c r="J69" s="961"/>
      <c r="K69" s="961"/>
      <c r="L69" s="961"/>
    </row>
    <row r="70" spans="2:12" x14ac:dyDescent="0.2">
      <c r="B70" s="961"/>
      <c r="C70" s="961"/>
      <c r="D70" s="961"/>
      <c r="E70" s="961"/>
      <c r="F70" s="961"/>
      <c r="G70" s="961"/>
      <c r="H70" s="961"/>
      <c r="I70" s="961"/>
      <c r="J70" s="961"/>
      <c r="K70" s="961"/>
      <c r="L70" s="961"/>
    </row>
    <row r="71" spans="2:12" x14ac:dyDescent="0.2">
      <c r="B71" s="961"/>
      <c r="C71" s="961"/>
      <c r="D71" s="961"/>
      <c r="E71" s="961"/>
      <c r="F71" s="961"/>
      <c r="G71" s="961"/>
      <c r="H71" s="961"/>
      <c r="I71" s="961"/>
      <c r="J71" s="961"/>
      <c r="K71" s="961"/>
      <c r="L71" s="961"/>
    </row>
  </sheetData>
  <mergeCells count="40">
    <mergeCell ref="A4:K4"/>
    <mergeCell ref="B5:K5"/>
    <mergeCell ref="A6:K6"/>
    <mergeCell ref="AA6:AG6"/>
    <mergeCell ref="A7:K7"/>
    <mergeCell ref="B11:K11"/>
    <mergeCell ref="B12:K12"/>
    <mergeCell ref="C13:E13"/>
    <mergeCell ref="B9:K9"/>
    <mergeCell ref="B8:K8"/>
    <mergeCell ref="C14:G14"/>
    <mergeCell ref="B15:B23"/>
    <mergeCell ref="C15:E17"/>
    <mergeCell ref="C18:E20"/>
    <mergeCell ref="C21:E23"/>
    <mergeCell ref="B24:B26"/>
    <mergeCell ref="C24:E24"/>
    <mergeCell ref="C25:E25"/>
    <mergeCell ref="C26:E26"/>
    <mergeCell ref="B27:B28"/>
    <mergeCell ref="C27:E28"/>
    <mergeCell ref="B44:B46"/>
    <mergeCell ref="C44:E46"/>
    <mergeCell ref="C29:E29"/>
    <mergeCell ref="C30:E30"/>
    <mergeCell ref="C32:E32"/>
    <mergeCell ref="C33:E33"/>
    <mergeCell ref="B34:B35"/>
    <mergeCell ref="C34:E35"/>
    <mergeCell ref="C38:E38"/>
    <mergeCell ref="C39:E39"/>
    <mergeCell ref="C40:E40"/>
    <mergeCell ref="C41:E41"/>
    <mergeCell ref="C43:E43"/>
    <mergeCell ref="B55:C55"/>
    <mergeCell ref="C47:E47"/>
    <mergeCell ref="C48:E48"/>
    <mergeCell ref="C49:E49"/>
    <mergeCell ref="C50:E50"/>
    <mergeCell ref="C51:E51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4" fitToHeight="21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20"/>
  <sheetViews>
    <sheetView view="pageBreakPreview" topLeftCell="A7" zoomScaleNormal="100" zoomScaleSheetLayoutView="100" workbookViewId="0">
      <selection activeCell="L17" sqref="L17"/>
    </sheetView>
  </sheetViews>
  <sheetFormatPr defaultColWidth="10.140625" defaultRowHeight="15.75" x14ac:dyDescent="0.25"/>
  <cols>
    <col min="1" max="1" width="5.85546875" style="1137" customWidth="1"/>
    <col min="2" max="2" width="50" style="1137" customWidth="1"/>
    <col min="3" max="3" width="17.7109375" style="1137" customWidth="1"/>
    <col min="4" max="4" width="14.28515625" style="1137" customWidth="1"/>
    <col min="5" max="5" width="10.28515625" style="1175" customWidth="1"/>
    <col min="6" max="6" width="8.140625" style="1175" customWidth="1"/>
    <col min="7" max="7" width="16.140625" style="1176" customWidth="1"/>
    <col min="8" max="8" width="15.28515625" style="1137" customWidth="1"/>
    <col min="9" max="256" width="10.140625" style="1137"/>
    <col min="257" max="257" width="5.85546875" style="1137" customWidth="1"/>
    <col min="258" max="258" width="50" style="1137" customWidth="1"/>
    <col min="259" max="259" width="17.7109375" style="1137" customWidth="1"/>
    <col min="260" max="260" width="14.28515625" style="1137" customWidth="1"/>
    <col min="261" max="261" width="10.28515625" style="1137" customWidth="1"/>
    <col min="262" max="262" width="8.140625" style="1137" customWidth="1"/>
    <col min="263" max="263" width="16.140625" style="1137" customWidth="1"/>
    <col min="264" max="512" width="10.140625" style="1137"/>
    <col min="513" max="513" width="5.85546875" style="1137" customWidth="1"/>
    <col min="514" max="514" width="50" style="1137" customWidth="1"/>
    <col min="515" max="515" width="17.7109375" style="1137" customWidth="1"/>
    <col min="516" max="516" width="14.28515625" style="1137" customWidth="1"/>
    <col min="517" max="517" width="10.28515625" style="1137" customWidth="1"/>
    <col min="518" max="518" width="8.140625" style="1137" customWidth="1"/>
    <col min="519" max="519" width="16.140625" style="1137" customWidth="1"/>
    <col min="520" max="768" width="10.140625" style="1137"/>
    <col min="769" max="769" width="5.85546875" style="1137" customWidth="1"/>
    <col min="770" max="770" width="50" style="1137" customWidth="1"/>
    <col min="771" max="771" width="17.7109375" style="1137" customWidth="1"/>
    <col min="772" max="772" width="14.28515625" style="1137" customWidth="1"/>
    <col min="773" max="773" width="10.28515625" style="1137" customWidth="1"/>
    <col min="774" max="774" width="8.140625" style="1137" customWidth="1"/>
    <col min="775" max="775" width="16.140625" style="1137" customWidth="1"/>
    <col min="776" max="1024" width="10.140625" style="1137"/>
    <col min="1025" max="1025" width="5.85546875" style="1137" customWidth="1"/>
    <col min="1026" max="1026" width="50" style="1137" customWidth="1"/>
    <col min="1027" max="1027" width="17.7109375" style="1137" customWidth="1"/>
    <col min="1028" max="1028" width="14.28515625" style="1137" customWidth="1"/>
    <col min="1029" max="1029" width="10.28515625" style="1137" customWidth="1"/>
    <col min="1030" max="1030" width="8.140625" style="1137" customWidth="1"/>
    <col min="1031" max="1031" width="16.140625" style="1137" customWidth="1"/>
    <col min="1032" max="1280" width="10.140625" style="1137"/>
    <col min="1281" max="1281" width="5.85546875" style="1137" customWidth="1"/>
    <col min="1282" max="1282" width="50" style="1137" customWidth="1"/>
    <col min="1283" max="1283" width="17.7109375" style="1137" customWidth="1"/>
    <col min="1284" max="1284" width="14.28515625" style="1137" customWidth="1"/>
    <col min="1285" max="1285" width="10.28515625" style="1137" customWidth="1"/>
    <col min="1286" max="1286" width="8.140625" style="1137" customWidth="1"/>
    <col min="1287" max="1287" width="16.140625" style="1137" customWidth="1"/>
    <col min="1288" max="1536" width="10.140625" style="1137"/>
    <col min="1537" max="1537" width="5.85546875" style="1137" customWidth="1"/>
    <col min="1538" max="1538" width="50" style="1137" customWidth="1"/>
    <col min="1539" max="1539" width="17.7109375" style="1137" customWidth="1"/>
    <col min="1540" max="1540" width="14.28515625" style="1137" customWidth="1"/>
    <col min="1541" max="1541" width="10.28515625" style="1137" customWidth="1"/>
    <col min="1542" max="1542" width="8.140625" style="1137" customWidth="1"/>
    <col min="1543" max="1543" width="16.140625" style="1137" customWidth="1"/>
    <col min="1544" max="1792" width="10.140625" style="1137"/>
    <col min="1793" max="1793" width="5.85546875" style="1137" customWidth="1"/>
    <col min="1794" max="1794" width="50" style="1137" customWidth="1"/>
    <col min="1795" max="1795" width="17.7109375" style="1137" customWidth="1"/>
    <col min="1796" max="1796" width="14.28515625" style="1137" customWidth="1"/>
    <col min="1797" max="1797" width="10.28515625" style="1137" customWidth="1"/>
    <col min="1798" max="1798" width="8.140625" style="1137" customWidth="1"/>
    <col min="1799" max="1799" width="16.140625" style="1137" customWidth="1"/>
    <col min="1800" max="2048" width="10.140625" style="1137"/>
    <col min="2049" max="2049" width="5.85546875" style="1137" customWidth="1"/>
    <col min="2050" max="2050" width="50" style="1137" customWidth="1"/>
    <col min="2051" max="2051" width="17.7109375" style="1137" customWidth="1"/>
    <col min="2052" max="2052" width="14.28515625" style="1137" customWidth="1"/>
    <col min="2053" max="2053" width="10.28515625" style="1137" customWidth="1"/>
    <col min="2054" max="2054" width="8.140625" style="1137" customWidth="1"/>
    <col min="2055" max="2055" width="16.140625" style="1137" customWidth="1"/>
    <col min="2056" max="2304" width="10.140625" style="1137"/>
    <col min="2305" max="2305" width="5.85546875" style="1137" customWidth="1"/>
    <col min="2306" max="2306" width="50" style="1137" customWidth="1"/>
    <col min="2307" max="2307" width="17.7109375" style="1137" customWidth="1"/>
    <col min="2308" max="2308" width="14.28515625" style="1137" customWidth="1"/>
    <col min="2309" max="2309" width="10.28515625" style="1137" customWidth="1"/>
    <col min="2310" max="2310" width="8.140625" style="1137" customWidth="1"/>
    <col min="2311" max="2311" width="16.140625" style="1137" customWidth="1"/>
    <col min="2312" max="2560" width="10.140625" style="1137"/>
    <col min="2561" max="2561" width="5.85546875" style="1137" customWidth="1"/>
    <col min="2562" max="2562" width="50" style="1137" customWidth="1"/>
    <col min="2563" max="2563" width="17.7109375" style="1137" customWidth="1"/>
    <col min="2564" max="2564" width="14.28515625" style="1137" customWidth="1"/>
    <col min="2565" max="2565" width="10.28515625" style="1137" customWidth="1"/>
    <col min="2566" max="2566" width="8.140625" style="1137" customWidth="1"/>
    <col min="2567" max="2567" width="16.140625" style="1137" customWidth="1"/>
    <col min="2568" max="2816" width="10.140625" style="1137"/>
    <col min="2817" max="2817" width="5.85546875" style="1137" customWidth="1"/>
    <col min="2818" max="2818" width="50" style="1137" customWidth="1"/>
    <col min="2819" max="2819" width="17.7109375" style="1137" customWidth="1"/>
    <col min="2820" max="2820" width="14.28515625" style="1137" customWidth="1"/>
    <col min="2821" max="2821" width="10.28515625" style="1137" customWidth="1"/>
    <col min="2822" max="2822" width="8.140625" style="1137" customWidth="1"/>
    <col min="2823" max="2823" width="16.140625" style="1137" customWidth="1"/>
    <col min="2824" max="3072" width="10.140625" style="1137"/>
    <col min="3073" max="3073" width="5.85546875" style="1137" customWidth="1"/>
    <col min="3074" max="3074" width="50" style="1137" customWidth="1"/>
    <col min="3075" max="3075" width="17.7109375" style="1137" customWidth="1"/>
    <col min="3076" max="3076" width="14.28515625" style="1137" customWidth="1"/>
    <col min="3077" max="3077" width="10.28515625" style="1137" customWidth="1"/>
    <col min="3078" max="3078" width="8.140625" style="1137" customWidth="1"/>
    <col min="3079" max="3079" width="16.140625" style="1137" customWidth="1"/>
    <col min="3080" max="3328" width="10.140625" style="1137"/>
    <col min="3329" max="3329" width="5.85546875" style="1137" customWidth="1"/>
    <col min="3330" max="3330" width="50" style="1137" customWidth="1"/>
    <col min="3331" max="3331" width="17.7109375" style="1137" customWidth="1"/>
    <col min="3332" max="3332" width="14.28515625" style="1137" customWidth="1"/>
    <col min="3333" max="3333" width="10.28515625" style="1137" customWidth="1"/>
    <col min="3334" max="3334" width="8.140625" style="1137" customWidth="1"/>
    <col min="3335" max="3335" width="16.140625" style="1137" customWidth="1"/>
    <col min="3336" max="3584" width="10.140625" style="1137"/>
    <col min="3585" max="3585" width="5.85546875" style="1137" customWidth="1"/>
    <col min="3586" max="3586" width="50" style="1137" customWidth="1"/>
    <col min="3587" max="3587" width="17.7109375" style="1137" customWidth="1"/>
    <col min="3588" max="3588" width="14.28515625" style="1137" customWidth="1"/>
    <col min="3589" max="3589" width="10.28515625" style="1137" customWidth="1"/>
    <col min="3590" max="3590" width="8.140625" style="1137" customWidth="1"/>
    <col min="3591" max="3591" width="16.140625" style="1137" customWidth="1"/>
    <col min="3592" max="3840" width="10.140625" style="1137"/>
    <col min="3841" max="3841" width="5.85546875" style="1137" customWidth="1"/>
    <col min="3842" max="3842" width="50" style="1137" customWidth="1"/>
    <col min="3843" max="3843" width="17.7109375" style="1137" customWidth="1"/>
    <col min="3844" max="3844" width="14.28515625" style="1137" customWidth="1"/>
    <col min="3845" max="3845" width="10.28515625" style="1137" customWidth="1"/>
    <col min="3846" max="3846" width="8.140625" style="1137" customWidth="1"/>
    <col min="3847" max="3847" width="16.140625" style="1137" customWidth="1"/>
    <col min="3848" max="4096" width="10.140625" style="1137"/>
    <col min="4097" max="4097" width="5.85546875" style="1137" customWidth="1"/>
    <col min="4098" max="4098" width="50" style="1137" customWidth="1"/>
    <col min="4099" max="4099" width="17.7109375" style="1137" customWidth="1"/>
    <col min="4100" max="4100" width="14.28515625" style="1137" customWidth="1"/>
    <col min="4101" max="4101" width="10.28515625" style="1137" customWidth="1"/>
    <col min="4102" max="4102" width="8.140625" style="1137" customWidth="1"/>
    <col min="4103" max="4103" width="16.140625" style="1137" customWidth="1"/>
    <col min="4104" max="4352" width="10.140625" style="1137"/>
    <col min="4353" max="4353" width="5.85546875" style="1137" customWidth="1"/>
    <col min="4354" max="4354" width="50" style="1137" customWidth="1"/>
    <col min="4355" max="4355" width="17.7109375" style="1137" customWidth="1"/>
    <col min="4356" max="4356" width="14.28515625" style="1137" customWidth="1"/>
    <col min="4357" max="4357" width="10.28515625" style="1137" customWidth="1"/>
    <col min="4358" max="4358" width="8.140625" style="1137" customWidth="1"/>
    <col min="4359" max="4359" width="16.140625" style="1137" customWidth="1"/>
    <col min="4360" max="4608" width="10.140625" style="1137"/>
    <col min="4609" max="4609" width="5.85546875" style="1137" customWidth="1"/>
    <col min="4610" max="4610" width="50" style="1137" customWidth="1"/>
    <col min="4611" max="4611" width="17.7109375" style="1137" customWidth="1"/>
    <col min="4612" max="4612" width="14.28515625" style="1137" customWidth="1"/>
    <col min="4613" max="4613" width="10.28515625" style="1137" customWidth="1"/>
    <col min="4614" max="4614" width="8.140625" style="1137" customWidth="1"/>
    <col min="4615" max="4615" width="16.140625" style="1137" customWidth="1"/>
    <col min="4616" max="4864" width="10.140625" style="1137"/>
    <col min="4865" max="4865" width="5.85546875" style="1137" customWidth="1"/>
    <col min="4866" max="4866" width="50" style="1137" customWidth="1"/>
    <col min="4867" max="4867" width="17.7109375" style="1137" customWidth="1"/>
    <col min="4868" max="4868" width="14.28515625" style="1137" customWidth="1"/>
    <col min="4869" max="4869" width="10.28515625" style="1137" customWidth="1"/>
    <col min="4870" max="4870" width="8.140625" style="1137" customWidth="1"/>
    <col min="4871" max="4871" width="16.140625" style="1137" customWidth="1"/>
    <col min="4872" max="5120" width="10.140625" style="1137"/>
    <col min="5121" max="5121" width="5.85546875" style="1137" customWidth="1"/>
    <col min="5122" max="5122" width="50" style="1137" customWidth="1"/>
    <col min="5123" max="5123" width="17.7109375" style="1137" customWidth="1"/>
    <col min="5124" max="5124" width="14.28515625" style="1137" customWidth="1"/>
    <col min="5125" max="5125" width="10.28515625" style="1137" customWidth="1"/>
    <col min="5126" max="5126" width="8.140625" style="1137" customWidth="1"/>
    <col min="5127" max="5127" width="16.140625" style="1137" customWidth="1"/>
    <col min="5128" max="5376" width="10.140625" style="1137"/>
    <col min="5377" max="5377" width="5.85546875" style="1137" customWidth="1"/>
    <col min="5378" max="5378" width="50" style="1137" customWidth="1"/>
    <col min="5379" max="5379" width="17.7109375" style="1137" customWidth="1"/>
    <col min="5380" max="5380" width="14.28515625" style="1137" customWidth="1"/>
    <col min="5381" max="5381" width="10.28515625" style="1137" customWidth="1"/>
    <col min="5382" max="5382" width="8.140625" style="1137" customWidth="1"/>
    <col min="5383" max="5383" width="16.140625" style="1137" customWidth="1"/>
    <col min="5384" max="5632" width="10.140625" style="1137"/>
    <col min="5633" max="5633" width="5.85546875" style="1137" customWidth="1"/>
    <col min="5634" max="5634" width="50" style="1137" customWidth="1"/>
    <col min="5635" max="5635" width="17.7109375" style="1137" customWidth="1"/>
    <col min="5636" max="5636" width="14.28515625" style="1137" customWidth="1"/>
    <col min="5637" max="5637" width="10.28515625" style="1137" customWidth="1"/>
    <col min="5638" max="5638" width="8.140625" style="1137" customWidth="1"/>
    <col min="5639" max="5639" width="16.140625" style="1137" customWidth="1"/>
    <col min="5640" max="5888" width="10.140625" style="1137"/>
    <col min="5889" max="5889" width="5.85546875" style="1137" customWidth="1"/>
    <col min="5890" max="5890" width="50" style="1137" customWidth="1"/>
    <col min="5891" max="5891" width="17.7109375" style="1137" customWidth="1"/>
    <col min="5892" max="5892" width="14.28515625" style="1137" customWidth="1"/>
    <col min="5893" max="5893" width="10.28515625" style="1137" customWidth="1"/>
    <col min="5894" max="5894" width="8.140625" style="1137" customWidth="1"/>
    <col min="5895" max="5895" width="16.140625" style="1137" customWidth="1"/>
    <col min="5896" max="6144" width="10.140625" style="1137"/>
    <col min="6145" max="6145" width="5.85546875" style="1137" customWidth="1"/>
    <col min="6146" max="6146" width="50" style="1137" customWidth="1"/>
    <col min="6147" max="6147" width="17.7109375" style="1137" customWidth="1"/>
    <col min="6148" max="6148" width="14.28515625" style="1137" customWidth="1"/>
    <col min="6149" max="6149" width="10.28515625" style="1137" customWidth="1"/>
    <col min="6150" max="6150" width="8.140625" style="1137" customWidth="1"/>
    <col min="6151" max="6151" width="16.140625" style="1137" customWidth="1"/>
    <col min="6152" max="6400" width="10.140625" style="1137"/>
    <col min="6401" max="6401" width="5.85546875" style="1137" customWidth="1"/>
    <col min="6402" max="6402" width="50" style="1137" customWidth="1"/>
    <col min="6403" max="6403" width="17.7109375" style="1137" customWidth="1"/>
    <col min="6404" max="6404" width="14.28515625" style="1137" customWidth="1"/>
    <col min="6405" max="6405" width="10.28515625" style="1137" customWidth="1"/>
    <col min="6406" max="6406" width="8.140625" style="1137" customWidth="1"/>
    <col min="6407" max="6407" width="16.140625" style="1137" customWidth="1"/>
    <col min="6408" max="6656" width="10.140625" style="1137"/>
    <col min="6657" max="6657" width="5.85546875" style="1137" customWidth="1"/>
    <col min="6658" max="6658" width="50" style="1137" customWidth="1"/>
    <col min="6659" max="6659" width="17.7109375" style="1137" customWidth="1"/>
    <col min="6660" max="6660" width="14.28515625" style="1137" customWidth="1"/>
    <col min="6661" max="6661" width="10.28515625" style="1137" customWidth="1"/>
    <col min="6662" max="6662" width="8.140625" style="1137" customWidth="1"/>
    <col min="6663" max="6663" width="16.140625" style="1137" customWidth="1"/>
    <col min="6664" max="6912" width="10.140625" style="1137"/>
    <col min="6913" max="6913" width="5.85546875" style="1137" customWidth="1"/>
    <col min="6914" max="6914" width="50" style="1137" customWidth="1"/>
    <col min="6915" max="6915" width="17.7109375" style="1137" customWidth="1"/>
    <col min="6916" max="6916" width="14.28515625" style="1137" customWidth="1"/>
    <col min="6917" max="6917" width="10.28515625" style="1137" customWidth="1"/>
    <col min="6918" max="6918" width="8.140625" style="1137" customWidth="1"/>
    <col min="6919" max="6919" width="16.140625" style="1137" customWidth="1"/>
    <col min="6920" max="7168" width="10.140625" style="1137"/>
    <col min="7169" max="7169" width="5.85546875" style="1137" customWidth="1"/>
    <col min="7170" max="7170" width="50" style="1137" customWidth="1"/>
    <col min="7171" max="7171" width="17.7109375" style="1137" customWidth="1"/>
    <col min="7172" max="7172" width="14.28515625" style="1137" customWidth="1"/>
    <col min="7173" max="7173" width="10.28515625" style="1137" customWidth="1"/>
    <col min="7174" max="7174" width="8.140625" style="1137" customWidth="1"/>
    <col min="7175" max="7175" width="16.140625" style="1137" customWidth="1"/>
    <col min="7176" max="7424" width="10.140625" style="1137"/>
    <col min="7425" max="7425" width="5.85546875" style="1137" customWidth="1"/>
    <col min="7426" max="7426" width="50" style="1137" customWidth="1"/>
    <col min="7427" max="7427" width="17.7109375" style="1137" customWidth="1"/>
    <col min="7428" max="7428" width="14.28515625" style="1137" customWidth="1"/>
    <col min="7429" max="7429" width="10.28515625" style="1137" customWidth="1"/>
    <col min="7430" max="7430" width="8.140625" style="1137" customWidth="1"/>
    <col min="7431" max="7431" width="16.140625" style="1137" customWidth="1"/>
    <col min="7432" max="7680" width="10.140625" style="1137"/>
    <col min="7681" max="7681" width="5.85546875" style="1137" customWidth="1"/>
    <col min="7682" max="7682" width="50" style="1137" customWidth="1"/>
    <col min="7683" max="7683" width="17.7109375" style="1137" customWidth="1"/>
    <col min="7684" max="7684" width="14.28515625" style="1137" customWidth="1"/>
    <col min="7685" max="7685" width="10.28515625" style="1137" customWidth="1"/>
    <col min="7686" max="7686" width="8.140625" style="1137" customWidth="1"/>
    <col min="7687" max="7687" width="16.140625" style="1137" customWidth="1"/>
    <col min="7688" max="7936" width="10.140625" style="1137"/>
    <col min="7937" max="7937" width="5.85546875" style="1137" customWidth="1"/>
    <col min="7938" max="7938" width="50" style="1137" customWidth="1"/>
    <col min="7939" max="7939" width="17.7109375" style="1137" customWidth="1"/>
    <col min="7940" max="7940" width="14.28515625" style="1137" customWidth="1"/>
    <col min="7941" max="7941" width="10.28515625" style="1137" customWidth="1"/>
    <col min="7942" max="7942" width="8.140625" style="1137" customWidth="1"/>
    <col min="7943" max="7943" width="16.140625" style="1137" customWidth="1"/>
    <col min="7944" max="8192" width="10.140625" style="1137"/>
    <col min="8193" max="8193" width="5.85546875" style="1137" customWidth="1"/>
    <col min="8194" max="8194" width="50" style="1137" customWidth="1"/>
    <col min="8195" max="8195" width="17.7109375" style="1137" customWidth="1"/>
    <col min="8196" max="8196" width="14.28515625" style="1137" customWidth="1"/>
    <col min="8197" max="8197" width="10.28515625" style="1137" customWidth="1"/>
    <col min="8198" max="8198" width="8.140625" style="1137" customWidth="1"/>
    <col min="8199" max="8199" width="16.140625" style="1137" customWidth="1"/>
    <col min="8200" max="8448" width="10.140625" style="1137"/>
    <col min="8449" max="8449" width="5.85546875" style="1137" customWidth="1"/>
    <col min="8450" max="8450" width="50" style="1137" customWidth="1"/>
    <col min="8451" max="8451" width="17.7109375" style="1137" customWidth="1"/>
    <col min="8452" max="8452" width="14.28515625" style="1137" customWidth="1"/>
    <col min="8453" max="8453" width="10.28515625" style="1137" customWidth="1"/>
    <col min="8454" max="8454" width="8.140625" style="1137" customWidth="1"/>
    <col min="8455" max="8455" width="16.140625" style="1137" customWidth="1"/>
    <col min="8456" max="8704" width="10.140625" style="1137"/>
    <col min="8705" max="8705" width="5.85546875" style="1137" customWidth="1"/>
    <col min="8706" max="8706" width="50" style="1137" customWidth="1"/>
    <col min="8707" max="8707" width="17.7109375" style="1137" customWidth="1"/>
    <col min="8708" max="8708" width="14.28515625" style="1137" customWidth="1"/>
    <col min="8709" max="8709" width="10.28515625" style="1137" customWidth="1"/>
    <col min="8710" max="8710" width="8.140625" style="1137" customWidth="1"/>
    <col min="8711" max="8711" width="16.140625" style="1137" customWidth="1"/>
    <col min="8712" max="8960" width="10.140625" style="1137"/>
    <col min="8961" max="8961" width="5.85546875" style="1137" customWidth="1"/>
    <col min="8962" max="8962" width="50" style="1137" customWidth="1"/>
    <col min="8963" max="8963" width="17.7109375" style="1137" customWidth="1"/>
    <col min="8964" max="8964" width="14.28515625" style="1137" customWidth="1"/>
    <col min="8965" max="8965" width="10.28515625" style="1137" customWidth="1"/>
    <col min="8966" max="8966" width="8.140625" style="1137" customWidth="1"/>
    <col min="8967" max="8967" width="16.140625" style="1137" customWidth="1"/>
    <col min="8968" max="9216" width="10.140625" style="1137"/>
    <col min="9217" max="9217" width="5.85546875" style="1137" customWidth="1"/>
    <col min="9218" max="9218" width="50" style="1137" customWidth="1"/>
    <col min="9219" max="9219" width="17.7109375" style="1137" customWidth="1"/>
    <col min="9220" max="9220" width="14.28515625" style="1137" customWidth="1"/>
    <col min="9221" max="9221" width="10.28515625" style="1137" customWidth="1"/>
    <col min="9222" max="9222" width="8.140625" style="1137" customWidth="1"/>
    <col min="9223" max="9223" width="16.140625" style="1137" customWidth="1"/>
    <col min="9224" max="9472" width="10.140625" style="1137"/>
    <col min="9473" max="9473" width="5.85546875" style="1137" customWidth="1"/>
    <col min="9474" max="9474" width="50" style="1137" customWidth="1"/>
    <col min="9475" max="9475" width="17.7109375" style="1137" customWidth="1"/>
    <col min="9476" max="9476" width="14.28515625" style="1137" customWidth="1"/>
    <col min="9477" max="9477" width="10.28515625" style="1137" customWidth="1"/>
    <col min="9478" max="9478" width="8.140625" style="1137" customWidth="1"/>
    <col min="9479" max="9479" width="16.140625" style="1137" customWidth="1"/>
    <col min="9480" max="9728" width="10.140625" style="1137"/>
    <col min="9729" max="9729" width="5.85546875" style="1137" customWidth="1"/>
    <col min="9730" max="9730" width="50" style="1137" customWidth="1"/>
    <col min="9731" max="9731" width="17.7109375" style="1137" customWidth="1"/>
    <col min="9732" max="9732" width="14.28515625" style="1137" customWidth="1"/>
    <col min="9733" max="9733" width="10.28515625" style="1137" customWidth="1"/>
    <col min="9734" max="9734" width="8.140625" style="1137" customWidth="1"/>
    <col min="9735" max="9735" width="16.140625" style="1137" customWidth="1"/>
    <col min="9736" max="9984" width="10.140625" style="1137"/>
    <col min="9985" max="9985" width="5.85546875" style="1137" customWidth="1"/>
    <col min="9986" max="9986" width="50" style="1137" customWidth="1"/>
    <col min="9987" max="9987" width="17.7109375" style="1137" customWidth="1"/>
    <col min="9988" max="9988" width="14.28515625" style="1137" customWidth="1"/>
    <col min="9989" max="9989" width="10.28515625" style="1137" customWidth="1"/>
    <col min="9990" max="9990" width="8.140625" style="1137" customWidth="1"/>
    <col min="9991" max="9991" width="16.140625" style="1137" customWidth="1"/>
    <col min="9992" max="10240" width="10.140625" style="1137"/>
    <col min="10241" max="10241" width="5.85546875" style="1137" customWidth="1"/>
    <col min="10242" max="10242" width="50" style="1137" customWidth="1"/>
    <col min="10243" max="10243" width="17.7109375" style="1137" customWidth="1"/>
    <col min="10244" max="10244" width="14.28515625" style="1137" customWidth="1"/>
    <col min="10245" max="10245" width="10.28515625" style="1137" customWidth="1"/>
    <col min="10246" max="10246" width="8.140625" style="1137" customWidth="1"/>
    <col min="10247" max="10247" width="16.140625" style="1137" customWidth="1"/>
    <col min="10248" max="10496" width="10.140625" style="1137"/>
    <col min="10497" max="10497" width="5.85546875" style="1137" customWidth="1"/>
    <col min="10498" max="10498" width="50" style="1137" customWidth="1"/>
    <col min="10499" max="10499" width="17.7109375" style="1137" customWidth="1"/>
    <col min="10500" max="10500" width="14.28515625" style="1137" customWidth="1"/>
    <col min="10501" max="10501" width="10.28515625" style="1137" customWidth="1"/>
    <col min="10502" max="10502" width="8.140625" style="1137" customWidth="1"/>
    <col min="10503" max="10503" width="16.140625" style="1137" customWidth="1"/>
    <col min="10504" max="10752" width="10.140625" style="1137"/>
    <col min="10753" max="10753" width="5.85546875" style="1137" customWidth="1"/>
    <col min="10754" max="10754" width="50" style="1137" customWidth="1"/>
    <col min="10755" max="10755" width="17.7109375" style="1137" customWidth="1"/>
    <col min="10756" max="10756" width="14.28515625" style="1137" customWidth="1"/>
    <col min="10757" max="10757" width="10.28515625" style="1137" customWidth="1"/>
    <col min="10758" max="10758" width="8.140625" style="1137" customWidth="1"/>
    <col min="10759" max="10759" width="16.140625" style="1137" customWidth="1"/>
    <col min="10760" max="11008" width="10.140625" style="1137"/>
    <col min="11009" max="11009" width="5.85546875" style="1137" customWidth="1"/>
    <col min="11010" max="11010" width="50" style="1137" customWidth="1"/>
    <col min="11011" max="11011" width="17.7109375" style="1137" customWidth="1"/>
    <col min="11012" max="11012" width="14.28515625" style="1137" customWidth="1"/>
    <col min="11013" max="11013" width="10.28515625" style="1137" customWidth="1"/>
    <col min="11014" max="11014" width="8.140625" style="1137" customWidth="1"/>
    <col min="11015" max="11015" width="16.140625" style="1137" customWidth="1"/>
    <col min="11016" max="11264" width="10.140625" style="1137"/>
    <col min="11265" max="11265" width="5.85546875" style="1137" customWidth="1"/>
    <col min="11266" max="11266" width="50" style="1137" customWidth="1"/>
    <col min="11267" max="11267" width="17.7109375" style="1137" customWidth="1"/>
    <col min="11268" max="11268" width="14.28515625" style="1137" customWidth="1"/>
    <col min="11269" max="11269" width="10.28515625" style="1137" customWidth="1"/>
    <col min="11270" max="11270" width="8.140625" style="1137" customWidth="1"/>
    <col min="11271" max="11271" width="16.140625" style="1137" customWidth="1"/>
    <col min="11272" max="11520" width="10.140625" style="1137"/>
    <col min="11521" max="11521" width="5.85546875" style="1137" customWidth="1"/>
    <col min="11522" max="11522" width="50" style="1137" customWidth="1"/>
    <col min="11523" max="11523" width="17.7109375" style="1137" customWidth="1"/>
    <col min="11524" max="11524" width="14.28515625" style="1137" customWidth="1"/>
    <col min="11525" max="11525" width="10.28515625" style="1137" customWidth="1"/>
    <col min="11526" max="11526" width="8.140625" style="1137" customWidth="1"/>
    <col min="11527" max="11527" width="16.140625" style="1137" customWidth="1"/>
    <col min="11528" max="11776" width="10.140625" style="1137"/>
    <col min="11777" max="11777" width="5.85546875" style="1137" customWidth="1"/>
    <col min="11778" max="11778" width="50" style="1137" customWidth="1"/>
    <col min="11779" max="11779" width="17.7109375" style="1137" customWidth="1"/>
    <col min="11780" max="11780" width="14.28515625" style="1137" customWidth="1"/>
    <col min="11781" max="11781" width="10.28515625" style="1137" customWidth="1"/>
    <col min="11782" max="11782" width="8.140625" style="1137" customWidth="1"/>
    <col min="11783" max="11783" width="16.140625" style="1137" customWidth="1"/>
    <col min="11784" max="12032" width="10.140625" style="1137"/>
    <col min="12033" max="12033" width="5.85546875" style="1137" customWidth="1"/>
    <col min="12034" max="12034" width="50" style="1137" customWidth="1"/>
    <col min="12035" max="12035" width="17.7109375" style="1137" customWidth="1"/>
    <col min="12036" max="12036" width="14.28515625" style="1137" customWidth="1"/>
    <col min="12037" max="12037" width="10.28515625" style="1137" customWidth="1"/>
    <col min="12038" max="12038" width="8.140625" style="1137" customWidth="1"/>
    <col min="12039" max="12039" width="16.140625" style="1137" customWidth="1"/>
    <col min="12040" max="12288" width="10.140625" style="1137"/>
    <col min="12289" max="12289" width="5.85546875" style="1137" customWidth="1"/>
    <col min="12290" max="12290" width="50" style="1137" customWidth="1"/>
    <col min="12291" max="12291" width="17.7109375" style="1137" customWidth="1"/>
    <col min="12292" max="12292" width="14.28515625" style="1137" customWidth="1"/>
    <col min="12293" max="12293" width="10.28515625" style="1137" customWidth="1"/>
    <col min="12294" max="12294" width="8.140625" style="1137" customWidth="1"/>
    <col min="12295" max="12295" width="16.140625" style="1137" customWidth="1"/>
    <col min="12296" max="12544" width="10.140625" style="1137"/>
    <col min="12545" max="12545" width="5.85546875" style="1137" customWidth="1"/>
    <col min="12546" max="12546" width="50" style="1137" customWidth="1"/>
    <col min="12547" max="12547" width="17.7109375" style="1137" customWidth="1"/>
    <col min="12548" max="12548" width="14.28515625" style="1137" customWidth="1"/>
    <col min="12549" max="12549" width="10.28515625" style="1137" customWidth="1"/>
    <col min="12550" max="12550" width="8.140625" style="1137" customWidth="1"/>
    <col min="12551" max="12551" width="16.140625" style="1137" customWidth="1"/>
    <col min="12552" max="12800" width="10.140625" style="1137"/>
    <col min="12801" max="12801" width="5.85546875" style="1137" customWidth="1"/>
    <col min="12802" max="12802" width="50" style="1137" customWidth="1"/>
    <col min="12803" max="12803" width="17.7109375" style="1137" customWidth="1"/>
    <col min="12804" max="12804" width="14.28515625" style="1137" customWidth="1"/>
    <col min="12805" max="12805" width="10.28515625" style="1137" customWidth="1"/>
    <col min="12806" max="12806" width="8.140625" style="1137" customWidth="1"/>
    <col min="12807" max="12807" width="16.140625" style="1137" customWidth="1"/>
    <col min="12808" max="13056" width="10.140625" style="1137"/>
    <col min="13057" max="13057" width="5.85546875" style="1137" customWidth="1"/>
    <col min="13058" max="13058" width="50" style="1137" customWidth="1"/>
    <col min="13059" max="13059" width="17.7109375" style="1137" customWidth="1"/>
    <col min="13060" max="13060" width="14.28515625" style="1137" customWidth="1"/>
    <col min="13061" max="13061" width="10.28515625" style="1137" customWidth="1"/>
    <col min="13062" max="13062" width="8.140625" style="1137" customWidth="1"/>
    <col min="13063" max="13063" width="16.140625" style="1137" customWidth="1"/>
    <col min="13064" max="13312" width="10.140625" style="1137"/>
    <col min="13313" max="13313" width="5.85546875" style="1137" customWidth="1"/>
    <col min="13314" max="13314" width="50" style="1137" customWidth="1"/>
    <col min="13315" max="13315" width="17.7109375" style="1137" customWidth="1"/>
    <col min="13316" max="13316" width="14.28515625" style="1137" customWidth="1"/>
    <col min="13317" max="13317" width="10.28515625" style="1137" customWidth="1"/>
    <col min="13318" max="13318" width="8.140625" style="1137" customWidth="1"/>
    <col min="13319" max="13319" width="16.140625" style="1137" customWidth="1"/>
    <col min="13320" max="13568" width="10.140625" style="1137"/>
    <col min="13569" max="13569" width="5.85546875" style="1137" customWidth="1"/>
    <col min="13570" max="13570" width="50" style="1137" customWidth="1"/>
    <col min="13571" max="13571" width="17.7109375" style="1137" customWidth="1"/>
    <col min="13572" max="13572" width="14.28515625" style="1137" customWidth="1"/>
    <col min="13573" max="13573" width="10.28515625" style="1137" customWidth="1"/>
    <col min="13574" max="13574" width="8.140625" style="1137" customWidth="1"/>
    <col min="13575" max="13575" width="16.140625" style="1137" customWidth="1"/>
    <col min="13576" max="13824" width="10.140625" style="1137"/>
    <col min="13825" max="13825" width="5.85546875" style="1137" customWidth="1"/>
    <col min="13826" max="13826" width="50" style="1137" customWidth="1"/>
    <col min="13827" max="13827" width="17.7109375" style="1137" customWidth="1"/>
    <col min="13828" max="13828" width="14.28515625" style="1137" customWidth="1"/>
    <col min="13829" max="13829" width="10.28515625" style="1137" customWidth="1"/>
    <col min="13830" max="13830" width="8.140625" style="1137" customWidth="1"/>
    <col min="13831" max="13831" width="16.140625" style="1137" customWidth="1"/>
    <col min="13832" max="14080" width="10.140625" style="1137"/>
    <col min="14081" max="14081" width="5.85546875" style="1137" customWidth="1"/>
    <col min="14082" max="14082" width="50" style="1137" customWidth="1"/>
    <col min="14083" max="14083" width="17.7109375" style="1137" customWidth="1"/>
    <col min="14084" max="14084" width="14.28515625" style="1137" customWidth="1"/>
    <col min="14085" max="14085" width="10.28515625" style="1137" customWidth="1"/>
    <col min="14086" max="14086" width="8.140625" style="1137" customWidth="1"/>
    <col min="14087" max="14087" width="16.140625" style="1137" customWidth="1"/>
    <col min="14088" max="14336" width="10.140625" style="1137"/>
    <col min="14337" max="14337" width="5.85546875" style="1137" customWidth="1"/>
    <col min="14338" max="14338" width="50" style="1137" customWidth="1"/>
    <col min="14339" max="14339" width="17.7109375" style="1137" customWidth="1"/>
    <col min="14340" max="14340" width="14.28515625" style="1137" customWidth="1"/>
    <col min="14341" max="14341" width="10.28515625" style="1137" customWidth="1"/>
    <col min="14342" max="14342" width="8.140625" style="1137" customWidth="1"/>
    <col min="14343" max="14343" width="16.140625" style="1137" customWidth="1"/>
    <col min="14344" max="14592" width="10.140625" style="1137"/>
    <col min="14593" max="14593" width="5.85546875" style="1137" customWidth="1"/>
    <col min="14594" max="14594" width="50" style="1137" customWidth="1"/>
    <col min="14595" max="14595" width="17.7109375" style="1137" customWidth="1"/>
    <col min="14596" max="14596" width="14.28515625" style="1137" customWidth="1"/>
    <col min="14597" max="14597" width="10.28515625" style="1137" customWidth="1"/>
    <col min="14598" max="14598" width="8.140625" style="1137" customWidth="1"/>
    <col min="14599" max="14599" width="16.140625" style="1137" customWidth="1"/>
    <col min="14600" max="14848" width="10.140625" style="1137"/>
    <col min="14849" max="14849" width="5.85546875" style="1137" customWidth="1"/>
    <col min="14850" max="14850" width="50" style="1137" customWidth="1"/>
    <col min="14851" max="14851" width="17.7109375" style="1137" customWidth="1"/>
    <col min="14852" max="14852" width="14.28515625" style="1137" customWidth="1"/>
    <col min="14853" max="14853" width="10.28515625" style="1137" customWidth="1"/>
    <col min="14854" max="14854" width="8.140625" style="1137" customWidth="1"/>
    <col min="14855" max="14855" width="16.140625" style="1137" customWidth="1"/>
    <col min="14856" max="15104" width="10.140625" style="1137"/>
    <col min="15105" max="15105" width="5.85546875" style="1137" customWidth="1"/>
    <col min="15106" max="15106" width="50" style="1137" customWidth="1"/>
    <col min="15107" max="15107" width="17.7109375" style="1137" customWidth="1"/>
    <col min="15108" max="15108" width="14.28515625" style="1137" customWidth="1"/>
    <col min="15109" max="15109" width="10.28515625" style="1137" customWidth="1"/>
    <col min="15110" max="15110" width="8.140625" style="1137" customWidth="1"/>
    <col min="15111" max="15111" width="16.140625" style="1137" customWidth="1"/>
    <col min="15112" max="15360" width="10.140625" style="1137"/>
    <col min="15361" max="15361" width="5.85546875" style="1137" customWidth="1"/>
    <col min="15362" max="15362" width="50" style="1137" customWidth="1"/>
    <col min="15363" max="15363" width="17.7109375" style="1137" customWidth="1"/>
    <col min="15364" max="15364" width="14.28515625" style="1137" customWidth="1"/>
    <col min="15365" max="15365" width="10.28515625" style="1137" customWidth="1"/>
    <col min="15366" max="15366" width="8.140625" style="1137" customWidth="1"/>
    <col min="15367" max="15367" width="16.140625" style="1137" customWidth="1"/>
    <col min="15368" max="15616" width="10.140625" style="1137"/>
    <col min="15617" max="15617" width="5.85546875" style="1137" customWidth="1"/>
    <col min="15618" max="15618" width="50" style="1137" customWidth="1"/>
    <col min="15619" max="15619" width="17.7109375" style="1137" customWidth="1"/>
    <col min="15620" max="15620" width="14.28515625" style="1137" customWidth="1"/>
    <col min="15621" max="15621" width="10.28515625" style="1137" customWidth="1"/>
    <col min="15622" max="15622" width="8.140625" style="1137" customWidth="1"/>
    <col min="15623" max="15623" width="16.140625" style="1137" customWidth="1"/>
    <col min="15624" max="15872" width="10.140625" style="1137"/>
    <col min="15873" max="15873" width="5.85546875" style="1137" customWidth="1"/>
    <col min="15874" max="15874" width="50" style="1137" customWidth="1"/>
    <col min="15875" max="15875" width="17.7109375" style="1137" customWidth="1"/>
    <col min="15876" max="15876" width="14.28515625" style="1137" customWidth="1"/>
    <col min="15877" max="15877" width="10.28515625" style="1137" customWidth="1"/>
    <col min="15878" max="15878" width="8.140625" style="1137" customWidth="1"/>
    <col min="15879" max="15879" width="16.140625" style="1137" customWidth="1"/>
    <col min="15880" max="16128" width="10.140625" style="1137"/>
    <col min="16129" max="16129" width="5.85546875" style="1137" customWidth="1"/>
    <col min="16130" max="16130" width="50" style="1137" customWidth="1"/>
    <col min="16131" max="16131" width="17.7109375" style="1137" customWidth="1"/>
    <col min="16132" max="16132" width="14.28515625" style="1137" customWidth="1"/>
    <col min="16133" max="16133" width="10.28515625" style="1137" customWidth="1"/>
    <col min="16134" max="16134" width="8.140625" style="1137" customWidth="1"/>
    <col min="16135" max="16135" width="16.140625" style="1137" customWidth="1"/>
    <col min="16136" max="16384" width="10.140625" style="1137"/>
  </cols>
  <sheetData>
    <row r="1" spans="1:10" ht="28.5" customHeight="1" x14ac:dyDescent="0.25"/>
    <row r="2" spans="1:10" x14ac:dyDescent="0.25">
      <c r="A2" s="1948" t="s">
        <v>556</v>
      </c>
      <c r="B2" s="1948"/>
      <c r="C2" s="1948"/>
      <c r="D2" s="1948"/>
      <c r="E2" s="1948"/>
      <c r="F2" s="1948"/>
      <c r="G2" s="1948"/>
      <c r="H2" s="1136"/>
      <c r="I2" s="1136"/>
      <c r="J2" s="1136"/>
    </row>
    <row r="3" spans="1:10" ht="47.25" customHeight="1" x14ac:dyDescent="0.25">
      <c r="A3" s="2191" t="str">
        <f>' ССР (нов)'!A6:G6</f>
        <v xml:space="preserve">Реконструкция теплового ввода </v>
      </c>
      <c r="B3" s="2191"/>
      <c r="C3" s="2191"/>
      <c r="D3" s="2191"/>
      <c r="E3" s="2191"/>
      <c r="F3" s="2191"/>
      <c r="G3" s="2191"/>
      <c r="H3" s="1138"/>
      <c r="I3" s="1138"/>
      <c r="J3" s="1138"/>
    </row>
    <row r="4" spans="1:10" ht="27.75" customHeight="1" x14ac:dyDescent="0.25">
      <c r="A4" s="1950" t="str">
        <f>' ССР (нов)'!A7:G7</f>
        <v>г. Москва , ул. Мневники д.4</v>
      </c>
      <c r="B4" s="1950"/>
      <c r="C4" s="1950"/>
      <c r="D4" s="1950"/>
      <c r="E4" s="1950"/>
      <c r="F4" s="1950"/>
      <c r="G4" s="1950"/>
      <c r="H4" s="1139"/>
      <c r="I4" s="1139"/>
      <c r="J4" s="1139"/>
    </row>
    <row r="5" spans="1:10" ht="43.5" customHeight="1" x14ac:dyDescent="0.25">
      <c r="A5" s="1950" t="s">
        <v>639</v>
      </c>
      <c r="B5" s="1950"/>
      <c r="C5" s="1950"/>
      <c r="D5" s="1950"/>
      <c r="E5" s="1950"/>
      <c r="F5" s="1950"/>
      <c r="G5" s="1950"/>
      <c r="H5" s="1140"/>
      <c r="I5" s="1140"/>
      <c r="J5" s="1140"/>
    </row>
    <row r="6" spans="1:10" ht="48.75" customHeight="1" x14ac:dyDescent="0.25">
      <c r="A6" s="2192" t="s">
        <v>669</v>
      </c>
      <c r="B6" s="2192"/>
      <c r="C6" s="2192"/>
      <c r="D6" s="2192"/>
      <c r="E6" s="2192"/>
      <c r="F6" s="2192"/>
      <c r="G6" s="2192"/>
      <c r="H6" s="1535" t="s">
        <v>676</v>
      </c>
      <c r="I6" s="1141"/>
      <c r="J6" s="1141"/>
    </row>
    <row r="7" spans="1:10" ht="16.5" thickBot="1" x14ac:dyDescent="0.3">
      <c r="A7" s="2193"/>
      <c r="B7" s="2193"/>
      <c r="C7" s="2193"/>
      <c r="D7" s="2193"/>
      <c r="E7" s="2193"/>
      <c r="F7" s="2193"/>
      <c r="G7" s="2193"/>
      <c r="H7" s="1142"/>
      <c r="I7" s="1142"/>
      <c r="J7" s="1142"/>
    </row>
    <row r="8" spans="1:10" ht="32.25" thickBot="1" x14ac:dyDescent="0.3">
      <c r="A8" s="1143" t="s">
        <v>499</v>
      </c>
      <c r="B8" s="1144" t="s">
        <v>32</v>
      </c>
      <c r="C8" s="1144" t="s">
        <v>310</v>
      </c>
      <c r="D8" s="1145" t="s">
        <v>500</v>
      </c>
      <c r="E8" s="1145" t="s">
        <v>501</v>
      </c>
      <c r="F8" s="1146" t="s">
        <v>502</v>
      </c>
      <c r="G8" s="1147" t="s">
        <v>503</v>
      </c>
    </row>
    <row r="9" spans="1:10" ht="16.5" hidden="1" thickBot="1" x14ac:dyDescent="0.3">
      <c r="A9" s="1148">
        <v>1</v>
      </c>
      <c r="B9" s="1149">
        <v>2</v>
      </c>
      <c r="C9" s="1149">
        <v>3</v>
      </c>
      <c r="D9" s="1149">
        <v>4</v>
      </c>
      <c r="E9" s="1149">
        <v>5</v>
      </c>
      <c r="F9" s="1149">
        <v>6</v>
      </c>
      <c r="G9" s="1150">
        <v>7</v>
      </c>
    </row>
    <row r="10" spans="1:10" s="351" customFormat="1" ht="16.5" thickBot="1" x14ac:dyDescent="0.25">
      <c r="A10" s="1151"/>
      <c r="B10" s="2189" t="str">
        <f>CONCATENATE("Здание по адресу:   ",обслед!D10, )</f>
        <v>Здание по адресу:   г.Москва, Сторожевая ул., д.18 (пристройка)</v>
      </c>
      <c r="C10" s="2189"/>
      <c r="D10" s="2189"/>
      <c r="E10" s="2189"/>
      <c r="F10" s="2189"/>
      <c r="G10" s="1152"/>
    </row>
    <row r="11" spans="1:10" ht="86.25" customHeight="1" x14ac:dyDescent="0.25">
      <c r="A11" s="1998">
        <v>1</v>
      </c>
      <c r="B11" s="1153" t="s">
        <v>504</v>
      </c>
      <c r="C11" s="1154"/>
      <c r="D11" s="1154"/>
      <c r="E11" s="1155"/>
      <c r="F11" s="1155"/>
      <c r="G11" s="1156"/>
    </row>
    <row r="12" spans="1:10" ht="27.75" customHeight="1" x14ac:dyDescent="0.25">
      <c r="A12" s="1998"/>
      <c r="B12" s="1157" t="s">
        <v>505</v>
      </c>
      <c r="C12" s="1495" t="s">
        <v>677</v>
      </c>
      <c r="D12" s="1158" t="s">
        <v>506</v>
      </c>
      <c r="E12" s="1158">
        <v>7.4</v>
      </c>
      <c r="F12" s="1158">
        <f>[1]шурф!H17</f>
        <v>5</v>
      </c>
      <c r="G12" s="1159">
        <f>ROUND(E12*F12,2)</f>
        <v>37</v>
      </c>
      <c r="H12" s="1495" t="s">
        <v>677</v>
      </c>
    </row>
    <row r="13" spans="1:10" ht="31.5" x14ac:dyDescent="0.25">
      <c r="A13" s="2190"/>
      <c r="B13" s="1157" t="s">
        <v>507</v>
      </c>
      <c r="C13" s="1495" t="s">
        <v>678</v>
      </c>
      <c r="D13" s="1158" t="s">
        <v>508</v>
      </c>
      <c r="E13" s="1158">
        <v>4.0999999999999996</v>
      </c>
      <c r="F13" s="1158">
        <v>4</v>
      </c>
      <c r="G13" s="1159">
        <f>ROUND(E13*F13,2)</f>
        <v>16.399999999999999</v>
      </c>
      <c r="H13" s="1495" t="s">
        <v>678</v>
      </c>
    </row>
    <row r="14" spans="1:10" ht="47.25" x14ac:dyDescent="0.25">
      <c r="A14" s="1160">
        <v>2</v>
      </c>
      <c r="B14" s="1157" t="s">
        <v>509</v>
      </c>
      <c r="C14" s="1495" t="s">
        <v>679</v>
      </c>
      <c r="D14" s="1158" t="s">
        <v>510</v>
      </c>
      <c r="E14" s="1158">
        <v>12.1</v>
      </c>
      <c r="F14" s="1161">
        <v>1000</v>
      </c>
      <c r="G14" s="1159">
        <f>ROUND(E14*F14,2)</f>
        <v>12100</v>
      </c>
      <c r="H14" s="1495" t="s">
        <v>679</v>
      </c>
    </row>
    <row r="15" spans="1:10" ht="78.75" x14ac:dyDescent="0.25">
      <c r="A15" s="1162">
        <v>3</v>
      </c>
      <c r="B15" s="1157" t="s">
        <v>511</v>
      </c>
      <c r="C15" s="1495" t="s">
        <v>680</v>
      </c>
      <c r="D15" s="1158" t="s">
        <v>510</v>
      </c>
      <c r="E15" s="1496">
        <v>13.6</v>
      </c>
      <c r="F15" s="1163">
        <f>F14</f>
        <v>1000</v>
      </c>
      <c r="G15" s="1159">
        <f>ROUND(E15*F15,2)</f>
        <v>13600</v>
      </c>
      <c r="H15" s="1495" t="s">
        <v>680</v>
      </c>
      <c r="I15" s="1536">
        <v>13.6</v>
      </c>
    </row>
    <row r="16" spans="1:10" x14ac:dyDescent="0.25">
      <c r="A16" s="1162">
        <v>4</v>
      </c>
      <c r="B16" s="1164" t="s">
        <v>512</v>
      </c>
      <c r="C16" s="1165"/>
      <c r="D16" s="1165"/>
      <c r="E16" s="1165"/>
      <c r="F16" s="1165"/>
      <c r="G16" s="1166">
        <f>SUM(G12:G15)</f>
        <v>25753.4</v>
      </c>
      <c r="H16" s="1165"/>
    </row>
    <row r="17" spans="1:10" ht="78.75" x14ac:dyDescent="0.25">
      <c r="A17" s="1162">
        <v>5</v>
      </c>
      <c r="B17" s="1157" t="s">
        <v>513</v>
      </c>
      <c r="C17" s="1495" t="s">
        <v>681</v>
      </c>
      <c r="D17" s="1158" t="s">
        <v>514</v>
      </c>
      <c r="E17" s="1158">
        <v>11.94</v>
      </c>
      <c r="F17" s="1158"/>
      <c r="G17" s="1167">
        <f>ROUND(G16*E17/100,0)</f>
        <v>3075</v>
      </c>
      <c r="H17" s="1495" t="s">
        <v>681</v>
      </c>
    </row>
    <row r="18" spans="1:10" ht="20.25" customHeight="1" x14ac:dyDescent="0.25">
      <c r="A18" s="1162">
        <v>6</v>
      </c>
      <c r="B18" s="1164" t="s">
        <v>515</v>
      </c>
      <c r="C18" s="1165"/>
      <c r="D18" s="1165"/>
      <c r="E18" s="1165"/>
      <c r="F18" s="1165"/>
      <c r="G18" s="1166">
        <f>G17+G16</f>
        <v>28828.400000000001</v>
      </c>
      <c r="H18" s="1165"/>
    </row>
    <row r="19" spans="1:10" ht="31.5" x14ac:dyDescent="0.25">
      <c r="A19" s="1162">
        <v>7</v>
      </c>
      <c r="B19" s="1157" t="s">
        <v>516</v>
      </c>
      <c r="C19" s="1495" t="s">
        <v>682</v>
      </c>
      <c r="D19" s="1158" t="s">
        <v>517</v>
      </c>
      <c r="E19" s="1158">
        <v>1.1200000000000001</v>
      </c>
      <c r="F19" s="1158">
        <v>5</v>
      </c>
      <c r="G19" s="1159">
        <f>ROUND(G18*E19/100*F19,2)</f>
        <v>1614.39</v>
      </c>
      <c r="H19" s="1495" t="s">
        <v>682</v>
      </c>
      <c r="J19" s="1168"/>
    </row>
    <row r="20" spans="1:10" ht="23.25" customHeight="1" x14ac:dyDescent="0.25">
      <c r="A20" s="1169"/>
      <c r="B20" s="1170" t="s">
        <v>518</v>
      </c>
      <c r="C20" s="1171"/>
      <c r="D20" s="1171"/>
      <c r="E20" s="1171"/>
      <c r="F20" s="1172"/>
      <c r="G20" s="1173">
        <f>G18+G19</f>
        <v>30442.79</v>
      </c>
    </row>
  </sheetData>
  <mergeCells count="8">
    <mergeCell ref="B10:F10"/>
    <mergeCell ref="A11:A13"/>
    <mergeCell ref="A2:G2"/>
    <mergeCell ref="A3:G3"/>
    <mergeCell ref="A4:G4"/>
    <mergeCell ref="A5:G5"/>
    <mergeCell ref="A6:G6"/>
    <mergeCell ref="A7:G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5" fitToHeight="21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80"/>
  <sheetViews>
    <sheetView view="pageBreakPreview" topLeftCell="A39" zoomScaleNormal="100" zoomScaleSheetLayoutView="100" workbookViewId="0">
      <selection activeCell="A3" sqref="A3:H3"/>
    </sheetView>
  </sheetViews>
  <sheetFormatPr defaultRowHeight="15.75" x14ac:dyDescent="0.25"/>
  <cols>
    <col min="1" max="1" width="4" style="58" customWidth="1"/>
    <col min="2" max="2" width="34.5703125" style="58" customWidth="1"/>
    <col min="3" max="3" width="10.140625" style="58" customWidth="1"/>
    <col min="4" max="4" width="29.5703125" style="58" customWidth="1"/>
    <col min="5" max="5" width="12.5703125" style="58" customWidth="1"/>
    <col min="6" max="6" width="2.7109375" style="58" customWidth="1"/>
    <col min="7" max="7" width="11" style="58" customWidth="1"/>
    <col min="8" max="8" width="14.7109375" style="58" customWidth="1"/>
    <col min="9" max="9" width="10.28515625" style="58" hidden="1" customWidth="1"/>
    <col min="10" max="256" width="9.140625" style="58"/>
    <col min="257" max="257" width="4" style="58" customWidth="1"/>
    <col min="258" max="258" width="34.5703125" style="58" customWidth="1"/>
    <col min="259" max="259" width="10.140625" style="58" customWidth="1"/>
    <col min="260" max="260" width="29.5703125" style="58" customWidth="1"/>
    <col min="261" max="261" width="12.5703125" style="58" customWidth="1"/>
    <col min="262" max="262" width="2.7109375" style="58" customWidth="1"/>
    <col min="263" max="263" width="11" style="58" customWidth="1"/>
    <col min="264" max="264" width="14.7109375" style="58" customWidth="1"/>
    <col min="265" max="265" width="0" style="58" hidden="1" customWidth="1"/>
    <col min="266" max="512" width="9.140625" style="58"/>
    <col min="513" max="513" width="4" style="58" customWidth="1"/>
    <col min="514" max="514" width="34.5703125" style="58" customWidth="1"/>
    <col min="515" max="515" width="10.140625" style="58" customWidth="1"/>
    <col min="516" max="516" width="29.5703125" style="58" customWidth="1"/>
    <col min="517" max="517" width="12.5703125" style="58" customWidth="1"/>
    <col min="518" max="518" width="2.7109375" style="58" customWidth="1"/>
    <col min="519" max="519" width="11" style="58" customWidth="1"/>
    <col min="520" max="520" width="14.7109375" style="58" customWidth="1"/>
    <col min="521" max="521" width="0" style="58" hidden="1" customWidth="1"/>
    <col min="522" max="768" width="9.140625" style="58"/>
    <col min="769" max="769" width="4" style="58" customWidth="1"/>
    <col min="770" max="770" width="34.5703125" style="58" customWidth="1"/>
    <col min="771" max="771" width="10.140625" style="58" customWidth="1"/>
    <col min="772" max="772" width="29.5703125" style="58" customWidth="1"/>
    <col min="773" max="773" width="12.5703125" style="58" customWidth="1"/>
    <col min="774" max="774" width="2.7109375" style="58" customWidth="1"/>
    <col min="775" max="775" width="11" style="58" customWidth="1"/>
    <col min="776" max="776" width="14.7109375" style="58" customWidth="1"/>
    <col min="777" max="777" width="0" style="58" hidden="1" customWidth="1"/>
    <col min="778" max="1024" width="9.140625" style="58"/>
    <col min="1025" max="1025" width="4" style="58" customWidth="1"/>
    <col min="1026" max="1026" width="34.5703125" style="58" customWidth="1"/>
    <col min="1027" max="1027" width="10.140625" style="58" customWidth="1"/>
    <col min="1028" max="1028" width="29.5703125" style="58" customWidth="1"/>
    <col min="1029" max="1029" width="12.5703125" style="58" customWidth="1"/>
    <col min="1030" max="1030" width="2.7109375" style="58" customWidth="1"/>
    <col min="1031" max="1031" width="11" style="58" customWidth="1"/>
    <col min="1032" max="1032" width="14.7109375" style="58" customWidth="1"/>
    <col min="1033" max="1033" width="0" style="58" hidden="1" customWidth="1"/>
    <col min="1034" max="1280" width="9.140625" style="58"/>
    <col min="1281" max="1281" width="4" style="58" customWidth="1"/>
    <col min="1282" max="1282" width="34.5703125" style="58" customWidth="1"/>
    <col min="1283" max="1283" width="10.140625" style="58" customWidth="1"/>
    <col min="1284" max="1284" width="29.5703125" style="58" customWidth="1"/>
    <col min="1285" max="1285" width="12.5703125" style="58" customWidth="1"/>
    <col min="1286" max="1286" width="2.7109375" style="58" customWidth="1"/>
    <col min="1287" max="1287" width="11" style="58" customWidth="1"/>
    <col min="1288" max="1288" width="14.7109375" style="58" customWidth="1"/>
    <col min="1289" max="1289" width="0" style="58" hidden="1" customWidth="1"/>
    <col min="1290" max="1536" width="9.140625" style="58"/>
    <col min="1537" max="1537" width="4" style="58" customWidth="1"/>
    <col min="1538" max="1538" width="34.5703125" style="58" customWidth="1"/>
    <col min="1539" max="1539" width="10.140625" style="58" customWidth="1"/>
    <col min="1540" max="1540" width="29.5703125" style="58" customWidth="1"/>
    <col min="1541" max="1541" width="12.5703125" style="58" customWidth="1"/>
    <col min="1542" max="1542" width="2.7109375" style="58" customWidth="1"/>
    <col min="1543" max="1543" width="11" style="58" customWidth="1"/>
    <col min="1544" max="1544" width="14.7109375" style="58" customWidth="1"/>
    <col min="1545" max="1545" width="0" style="58" hidden="1" customWidth="1"/>
    <col min="1546" max="1792" width="9.140625" style="58"/>
    <col min="1793" max="1793" width="4" style="58" customWidth="1"/>
    <col min="1794" max="1794" width="34.5703125" style="58" customWidth="1"/>
    <col min="1795" max="1795" width="10.140625" style="58" customWidth="1"/>
    <col min="1796" max="1796" width="29.5703125" style="58" customWidth="1"/>
    <col min="1797" max="1797" width="12.5703125" style="58" customWidth="1"/>
    <col min="1798" max="1798" width="2.7109375" style="58" customWidth="1"/>
    <col min="1799" max="1799" width="11" style="58" customWidth="1"/>
    <col min="1800" max="1800" width="14.7109375" style="58" customWidth="1"/>
    <col min="1801" max="1801" width="0" style="58" hidden="1" customWidth="1"/>
    <col min="1802" max="2048" width="9.140625" style="58"/>
    <col min="2049" max="2049" width="4" style="58" customWidth="1"/>
    <col min="2050" max="2050" width="34.5703125" style="58" customWidth="1"/>
    <col min="2051" max="2051" width="10.140625" style="58" customWidth="1"/>
    <col min="2052" max="2052" width="29.5703125" style="58" customWidth="1"/>
    <col min="2053" max="2053" width="12.5703125" style="58" customWidth="1"/>
    <col min="2054" max="2054" width="2.7109375" style="58" customWidth="1"/>
    <col min="2055" max="2055" width="11" style="58" customWidth="1"/>
    <col min="2056" max="2056" width="14.7109375" style="58" customWidth="1"/>
    <col min="2057" max="2057" width="0" style="58" hidden="1" customWidth="1"/>
    <col min="2058" max="2304" width="9.140625" style="58"/>
    <col min="2305" max="2305" width="4" style="58" customWidth="1"/>
    <col min="2306" max="2306" width="34.5703125" style="58" customWidth="1"/>
    <col min="2307" max="2307" width="10.140625" style="58" customWidth="1"/>
    <col min="2308" max="2308" width="29.5703125" style="58" customWidth="1"/>
    <col min="2309" max="2309" width="12.5703125" style="58" customWidth="1"/>
    <col min="2310" max="2310" width="2.7109375" style="58" customWidth="1"/>
    <col min="2311" max="2311" width="11" style="58" customWidth="1"/>
    <col min="2312" max="2312" width="14.7109375" style="58" customWidth="1"/>
    <col min="2313" max="2313" width="0" style="58" hidden="1" customWidth="1"/>
    <col min="2314" max="2560" width="9.140625" style="58"/>
    <col min="2561" max="2561" width="4" style="58" customWidth="1"/>
    <col min="2562" max="2562" width="34.5703125" style="58" customWidth="1"/>
    <col min="2563" max="2563" width="10.140625" style="58" customWidth="1"/>
    <col min="2564" max="2564" width="29.5703125" style="58" customWidth="1"/>
    <col min="2565" max="2565" width="12.5703125" style="58" customWidth="1"/>
    <col min="2566" max="2566" width="2.7109375" style="58" customWidth="1"/>
    <col min="2567" max="2567" width="11" style="58" customWidth="1"/>
    <col min="2568" max="2568" width="14.7109375" style="58" customWidth="1"/>
    <col min="2569" max="2569" width="0" style="58" hidden="1" customWidth="1"/>
    <col min="2570" max="2816" width="9.140625" style="58"/>
    <col min="2817" max="2817" width="4" style="58" customWidth="1"/>
    <col min="2818" max="2818" width="34.5703125" style="58" customWidth="1"/>
    <col min="2819" max="2819" width="10.140625" style="58" customWidth="1"/>
    <col min="2820" max="2820" width="29.5703125" style="58" customWidth="1"/>
    <col min="2821" max="2821" width="12.5703125" style="58" customWidth="1"/>
    <col min="2822" max="2822" width="2.7109375" style="58" customWidth="1"/>
    <col min="2823" max="2823" width="11" style="58" customWidth="1"/>
    <col min="2824" max="2824" width="14.7109375" style="58" customWidth="1"/>
    <col min="2825" max="2825" width="0" style="58" hidden="1" customWidth="1"/>
    <col min="2826" max="3072" width="9.140625" style="58"/>
    <col min="3073" max="3073" width="4" style="58" customWidth="1"/>
    <col min="3074" max="3074" width="34.5703125" style="58" customWidth="1"/>
    <col min="3075" max="3075" width="10.140625" style="58" customWidth="1"/>
    <col min="3076" max="3076" width="29.5703125" style="58" customWidth="1"/>
    <col min="3077" max="3077" width="12.5703125" style="58" customWidth="1"/>
    <col min="3078" max="3078" width="2.7109375" style="58" customWidth="1"/>
    <col min="3079" max="3079" width="11" style="58" customWidth="1"/>
    <col min="3080" max="3080" width="14.7109375" style="58" customWidth="1"/>
    <col min="3081" max="3081" width="0" style="58" hidden="1" customWidth="1"/>
    <col min="3082" max="3328" width="9.140625" style="58"/>
    <col min="3329" max="3329" width="4" style="58" customWidth="1"/>
    <col min="3330" max="3330" width="34.5703125" style="58" customWidth="1"/>
    <col min="3331" max="3331" width="10.140625" style="58" customWidth="1"/>
    <col min="3332" max="3332" width="29.5703125" style="58" customWidth="1"/>
    <col min="3333" max="3333" width="12.5703125" style="58" customWidth="1"/>
    <col min="3334" max="3334" width="2.7109375" style="58" customWidth="1"/>
    <col min="3335" max="3335" width="11" style="58" customWidth="1"/>
    <col min="3336" max="3336" width="14.7109375" style="58" customWidth="1"/>
    <col min="3337" max="3337" width="0" style="58" hidden="1" customWidth="1"/>
    <col min="3338" max="3584" width="9.140625" style="58"/>
    <col min="3585" max="3585" width="4" style="58" customWidth="1"/>
    <col min="3586" max="3586" width="34.5703125" style="58" customWidth="1"/>
    <col min="3587" max="3587" width="10.140625" style="58" customWidth="1"/>
    <col min="3588" max="3588" width="29.5703125" style="58" customWidth="1"/>
    <col min="3589" max="3589" width="12.5703125" style="58" customWidth="1"/>
    <col min="3590" max="3590" width="2.7109375" style="58" customWidth="1"/>
    <col min="3591" max="3591" width="11" style="58" customWidth="1"/>
    <col min="3592" max="3592" width="14.7109375" style="58" customWidth="1"/>
    <col min="3593" max="3593" width="0" style="58" hidden="1" customWidth="1"/>
    <col min="3594" max="3840" width="9.140625" style="58"/>
    <col min="3841" max="3841" width="4" style="58" customWidth="1"/>
    <col min="3842" max="3842" width="34.5703125" style="58" customWidth="1"/>
    <col min="3843" max="3843" width="10.140625" style="58" customWidth="1"/>
    <col min="3844" max="3844" width="29.5703125" style="58" customWidth="1"/>
    <col min="3845" max="3845" width="12.5703125" style="58" customWidth="1"/>
    <col min="3846" max="3846" width="2.7109375" style="58" customWidth="1"/>
    <col min="3847" max="3847" width="11" style="58" customWidth="1"/>
    <col min="3848" max="3848" width="14.7109375" style="58" customWidth="1"/>
    <col min="3849" max="3849" width="0" style="58" hidden="1" customWidth="1"/>
    <col min="3850" max="4096" width="9.140625" style="58"/>
    <col min="4097" max="4097" width="4" style="58" customWidth="1"/>
    <col min="4098" max="4098" width="34.5703125" style="58" customWidth="1"/>
    <col min="4099" max="4099" width="10.140625" style="58" customWidth="1"/>
    <col min="4100" max="4100" width="29.5703125" style="58" customWidth="1"/>
    <col min="4101" max="4101" width="12.5703125" style="58" customWidth="1"/>
    <col min="4102" max="4102" width="2.7109375" style="58" customWidth="1"/>
    <col min="4103" max="4103" width="11" style="58" customWidth="1"/>
    <col min="4104" max="4104" width="14.7109375" style="58" customWidth="1"/>
    <col min="4105" max="4105" width="0" style="58" hidden="1" customWidth="1"/>
    <col min="4106" max="4352" width="9.140625" style="58"/>
    <col min="4353" max="4353" width="4" style="58" customWidth="1"/>
    <col min="4354" max="4354" width="34.5703125" style="58" customWidth="1"/>
    <col min="4355" max="4355" width="10.140625" style="58" customWidth="1"/>
    <col min="4356" max="4356" width="29.5703125" style="58" customWidth="1"/>
    <col min="4357" max="4357" width="12.5703125" style="58" customWidth="1"/>
    <col min="4358" max="4358" width="2.7109375" style="58" customWidth="1"/>
    <col min="4359" max="4359" width="11" style="58" customWidth="1"/>
    <col min="4360" max="4360" width="14.7109375" style="58" customWidth="1"/>
    <col min="4361" max="4361" width="0" style="58" hidden="1" customWidth="1"/>
    <col min="4362" max="4608" width="9.140625" style="58"/>
    <col min="4609" max="4609" width="4" style="58" customWidth="1"/>
    <col min="4610" max="4610" width="34.5703125" style="58" customWidth="1"/>
    <col min="4611" max="4611" width="10.140625" style="58" customWidth="1"/>
    <col min="4612" max="4612" width="29.5703125" style="58" customWidth="1"/>
    <col min="4613" max="4613" width="12.5703125" style="58" customWidth="1"/>
    <col min="4614" max="4614" width="2.7109375" style="58" customWidth="1"/>
    <col min="4615" max="4615" width="11" style="58" customWidth="1"/>
    <col min="4616" max="4616" width="14.7109375" style="58" customWidth="1"/>
    <col min="4617" max="4617" width="0" style="58" hidden="1" customWidth="1"/>
    <col min="4618" max="4864" width="9.140625" style="58"/>
    <col min="4865" max="4865" width="4" style="58" customWidth="1"/>
    <col min="4866" max="4866" width="34.5703125" style="58" customWidth="1"/>
    <col min="4867" max="4867" width="10.140625" style="58" customWidth="1"/>
    <col min="4868" max="4868" width="29.5703125" style="58" customWidth="1"/>
    <col min="4869" max="4869" width="12.5703125" style="58" customWidth="1"/>
    <col min="4870" max="4870" width="2.7109375" style="58" customWidth="1"/>
    <col min="4871" max="4871" width="11" style="58" customWidth="1"/>
    <col min="4872" max="4872" width="14.7109375" style="58" customWidth="1"/>
    <col min="4873" max="4873" width="0" style="58" hidden="1" customWidth="1"/>
    <col min="4874" max="5120" width="9.140625" style="58"/>
    <col min="5121" max="5121" width="4" style="58" customWidth="1"/>
    <col min="5122" max="5122" width="34.5703125" style="58" customWidth="1"/>
    <col min="5123" max="5123" width="10.140625" style="58" customWidth="1"/>
    <col min="5124" max="5124" width="29.5703125" style="58" customWidth="1"/>
    <col min="5125" max="5125" width="12.5703125" style="58" customWidth="1"/>
    <col min="5126" max="5126" width="2.7109375" style="58" customWidth="1"/>
    <col min="5127" max="5127" width="11" style="58" customWidth="1"/>
    <col min="5128" max="5128" width="14.7109375" style="58" customWidth="1"/>
    <col min="5129" max="5129" width="0" style="58" hidden="1" customWidth="1"/>
    <col min="5130" max="5376" width="9.140625" style="58"/>
    <col min="5377" max="5377" width="4" style="58" customWidth="1"/>
    <col min="5378" max="5378" width="34.5703125" style="58" customWidth="1"/>
    <col min="5379" max="5379" width="10.140625" style="58" customWidth="1"/>
    <col min="5380" max="5380" width="29.5703125" style="58" customWidth="1"/>
    <col min="5381" max="5381" width="12.5703125" style="58" customWidth="1"/>
    <col min="5382" max="5382" width="2.7109375" style="58" customWidth="1"/>
    <col min="5383" max="5383" width="11" style="58" customWidth="1"/>
    <col min="5384" max="5384" width="14.7109375" style="58" customWidth="1"/>
    <col min="5385" max="5385" width="0" style="58" hidden="1" customWidth="1"/>
    <col min="5386" max="5632" width="9.140625" style="58"/>
    <col min="5633" max="5633" width="4" style="58" customWidth="1"/>
    <col min="5634" max="5634" width="34.5703125" style="58" customWidth="1"/>
    <col min="5635" max="5635" width="10.140625" style="58" customWidth="1"/>
    <col min="5636" max="5636" width="29.5703125" style="58" customWidth="1"/>
    <col min="5637" max="5637" width="12.5703125" style="58" customWidth="1"/>
    <col min="5638" max="5638" width="2.7109375" style="58" customWidth="1"/>
    <col min="5639" max="5639" width="11" style="58" customWidth="1"/>
    <col min="5640" max="5640" width="14.7109375" style="58" customWidth="1"/>
    <col min="5641" max="5641" width="0" style="58" hidden="1" customWidth="1"/>
    <col min="5642" max="5888" width="9.140625" style="58"/>
    <col min="5889" max="5889" width="4" style="58" customWidth="1"/>
    <col min="5890" max="5890" width="34.5703125" style="58" customWidth="1"/>
    <col min="5891" max="5891" width="10.140625" style="58" customWidth="1"/>
    <col min="5892" max="5892" width="29.5703125" style="58" customWidth="1"/>
    <col min="5893" max="5893" width="12.5703125" style="58" customWidth="1"/>
    <col min="5894" max="5894" width="2.7109375" style="58" customWidth="1"/>
    <col min="5895" max="5895" width="11" style="58" customWidth="1"/>
    <col min="5896" max="5896" width="14.7109375" style="58" customWidth="1"/>
    <col min="5897" max="5897" width="0" style="58" hidden="1" customWidth="1"/>
    <col min="5898" max="6144" width="9.140625" style="58"/>
    <col min="6145" max="6145" width="4" style="58" customWidth="1"/>
    <col min="6146" max="6146" width="34.5703125" style="58" customWidth="1"/>
    <col min="6147" max="6147" width="10.140625" style="58" customWidth="1"/>
    <col min="6148" max="6148" width="29.5703125" style="58" customWidth="1"/>
    <col min="6149" max="6149" width="12.5703125" style="58" customWidth="1"/>
    <col min="6150" max="6150" width="2.7109375" style="58" customWidth="1"/>
    <col min="6151" max="6151" width="11" style="58" customWidth="1"/>
    <col min="6152" max="6152" width="14.7109375" style="58" customWidth="1"/>
    <col min="6153" max="6153" width="0" style="58" hidden="1" customWidth="1"/>
    <col min="6154" max="6400" width="9.140625" style="58"/>
    <col min="6401" max="6401" width="4" style="58" customWidth="1"/>
    <col min="6402" max="6402" width="34.5703125" style="58" customWidth="1"/>
    <col min="6403" max="6403" width="10.140625" style="58" customWidth="1"/>
    <col min="6404" max="6404" width="29.5703125" style="58" customWidth="1"/>
    <col min="6405" max="6405" width="12.5703125" style="58" customWidth="1"/>
    <col min="6406" max="6406" width="2.7109375" style="58" customWidth="1"/>
    <col min="6407" max="6407" width="11" style="58" customWidth="1"/>
    <col min="6408" max="6408" width="14.7109375" style="58" customWidth="1"/>
    <col min="6409" max="6409" width="0" style="58" hidden="1" customWidth="1"/>
    <col min="6410" max="6656" width="9.140625" style="58"/>
    <col min="6657" max="6657" width="4" style="58" customWidth="1"/>
    <col min="6658" max="6658" width="34.5703125" style="58" customWidth="1"/>
    <col min="6659" max="6659" width="10.140625" style="58" customWidth="1"/>
    <col min="6660" max="6660" width="29.5703125" style="58" customWidth="1"/>
    <col min="6661" max="6661" width="12.5703125" style="58" customWidth="1"/>
    <col min="6662" max="6662" width="2.7109375" style="58" customWidth="1"/>
    <col min="6663" max="6663" width="11" style="58" customWidth="1"/>
    <col min="6664" max="6664" width="14.7109375" style="58" customWidth="1"/>
    <col min="6665" max="6665" width="0" style="58" hidden="1" customWidth="1"/>
    <col min="6666" max="6912" width="9.140625" style="58"/>
    <col min="6913" max="6913" width="4" style="58" customWidth="1"/>
    <col min="6914" max="6914" width="34.5703125" style="58" customWidth="1"/>
    <col min="6915" max="6915" width="10.140625" style="58" customWidth="1"/>
    <col min="6916" max="6916" width="29.5703125" style="58" customWidth="1"/>
    <col min="6917" max="6917" width="12.5703125" style="58" customWidth="1"/>
    <col min="6918" max="6918" width="2.7109375" style="58" customWidth="1"/>
    <col min="6919" max="6919" width="11" style="58" customWidth="1"/>
    <col min="6920" max="6920" width="14.7109375" style="58" customWidth="1"/>
    <col min="6921" max="6921" width="0" style="58" hidden="1" customWidth="1"/>
    <col min="6922" max="7168" width="9.140625" style="58"/>
    <col min="7169" max="7169" width="4" style="58" customWidth="1"/>
    <col min="7170" max="7170" width="34.5703125" style="58" customWidth="1"/>
    <col min="7171" max="7171" width="10.140625" style="58" customWidth="1"/>
    <col min="7172" max="7172" width="29.5703125" style="58" customWidth="1"/>
    <col min="7173" max="7173" width="12.5703125" style="58" customWidth="1"/>
    <col min="7174" max="7174" width="2.7109375" style="58" customWidth="1"/>
    <col min="7175" max="7175" width="11" style="58" customWidth="1"/>
    <col min="7176" max="7176" width="14.7109375" style="58" customWidth="1"/>
    <col min="7177" max="7177" width="0" style="58" hidden="1" customWidth="1"/>
    <col min="7178" max="7424" width="9.140625" style="58"/>
    <col min="7425" max="7425" width="4" style="58" customWidth="1"/>
    <col min="7426" max="7426" width="34.5703125" style="58" customWidth="1"/>
    <col min="7427" max="7427" width="10.140625" style="58" customWidth="1"/>
    <col min="7428" max="7428" width="29.5703125" style="58" customWidth="1"/>
    <col min="7429" max="7429" width="12.5703125" style="58" customWidth="1"/>
    <col min="7430" max="7430" width="2.7109375" style="58" customWidth="1"/>
    <col min="7431" max="7431" width="11" style="58" customWidth="1"/>
    <col min="7432" max="7432" width="14.7109375" style="58" customWidth="1"/>
    <col min="7433" max="7433" width="0" style="58" hidden="1" customWidth="1"/>
    <col min="7434" max="7680" width="9.140625" style="58"/>
    <col min="7681" max="7681" width="4" style="58" customWidth="1"/>
    <col min="7682" max="7682" width="34.5703125" style="58" customWidth="1"/>
    <col min="7683" max="7683" width="10.140625" style="58" customWidth="1"/>
    <col min="7684" max="7684" width="29.5703125" style="58" customWidth="1"/>
    <col min="7685" max="7685" width="12.5703125" style="58" customWidth="1"/>
    <col min="7686" max="7686" width="2.7109375" style="58" customWidth="1"/>
    <col min="7687" max="7687" width="11" style="58" customWidth="1"/>
    <col min="7688" max="7688" width="14.7109375" style="58" customWidth="1"/>
    <col min="7689" max="7689" width="0" style="58" hidden="1" customWidth="1"/>
    <col min="7690" max="7936" width="9.140625" style="58"/>
    <col min="7937" max="7937" width="4" style="58" customWidth="1"/>
    <col min="7938" max="7938" width="34.5703125" style="58" customWidth="1"/>
    <col min="7939" max="7939" width="10.140625" style="58" customWidth="1"/>
    <col min="7940" max="7940" width="29.5703125" style="58" customWidth="1"/>
    <col min="7941" max="7941" width="12.5703125" style="58" customWidth="1"/>
    <col min="7942" max="7942" width="2.7109375" style="58" customWidth="1"/>
    <col min="7943" max="7943" width="11" style="58" customWidth="1"/>
    <col min="7944" max="7944" width="14.7109375" style="58" customWidth="1"/>
    <col min="7945" max="7945" width="0" style="58" hidden="1" customWidth="1"/>
    <col min="7946" max="8192" width="9.140625" style="58"/>
    <col min="8193" max="8193" width="4" style="58" customWidth="1"/>
    <col min="8194" max="8194" width="34.5703125" style="58" customWidth="1"/>
    <col min="8195" max="8195" width="10.140625" style="58" customWidth="1"/>
    <col min="8196" max="8196" width="29.5703125" style="58" customWidth="1"/>
    <col min="8197" max="8197" width="12.5703125" style="58" customWidth="1"/>
    <col min="8198" max="8198" width="2.7109375" style="58" customWidth="1"/>
    <col min="8199" max="8199" width="11" style="58" customWidth="1"/>
    <col min="8200" max="8200" width="14.7109375" style="58" customWidth="1"/>
    <col min="8201" max="8201" width="0" style="58" hidden="1" customWidth="1"/>
    <col min="8202" max="8448" width="9.140625" style="58"/>
    <col min="8449" max="8449" width="4" style="58" customWidth="1"/>
    <col min="8450" max="8450" width="34.5703125" style="58" customWidth="1"/>
    <col min="8451" max="8451" width="10.140625" style="58" customWidth="1"/>
    <col min="8452" max="8452" width="29.5703125" style="58" customWidth="1"/>
    <col min="8453" max="8453" width="12.5703125" style="58" customWidth="1"/>
    <col min="8454" max="8454" width="2.7109375" style="58" customWidth="1"/>
    <col min="8455" max="8455" width="11" style="58" customWidth="1"/>
    <col min="8456" max="8456" width="14.7109375" style="58" customWidth="1"/>
    <col min="8457" max="8457" width="0" style="58" hidden="1" customWidth="1"/>
    <col min="8458" max="8704" width="9.140625" style="58"/>
    <col min="8705" max="8705" width="4" style="58" customWidth="1"/>
    <col min="8706" max="8706" width="34.5703125" style="58" customWidth="1"/>
    <col min="8707" max="8707" width="10.140625" style="58" customWidth="1"/>
    <col min="8708" max="8708" width="29.5703125" style="58" customWidth="1"/>
    <col min="8709" max="8709" width="12.5703125" style="58" customWidth="1"/>
    <col min="8710" max="8710" width="2.7109375" style="58" customWidth="1"/>
    <col min="8711" max="8711" width="11" style="58" customWidth="1"/>
    <col min="8712" max="8712" width="14.7109375" style="58" customWidth="1"/>
    <col min="8713" max="8713" width="0" style="58" hidden="1" customWidth="1"/>
    <col min="8714" max="8960" width="9.140625" style="58"/>
    <col min="8961" max="8961" width="4" style="58" customWidth="1"/>
    <col min="8962" max="8962" width="34.5703125" style="58" customWidth="1"/>
    <col min="8963" max="8963" width="10.140625" style="58" customWidth="1"/>
    <col min="8964" max="8964" width="29.5703125" style="58" customWidth="1"/>
    <col min="8965" max="8965" width="12.5703125" style="58" customWidth="1"/>
    <col min="8966" max="8966" width="2.7109375" style="58" customWidth="1"/>
    <col min="8967" max="8967" width="11" style="58" customWidth="1"/>
    <col min="8968" max="8968" width="14.7109375" style="58" customWidth="1"/>
    <col min="8969" max="8969" width="0" style="58" hidden="1" customWidth="1"/>
    <col min="8970" max="9216" width="9.140625" style="58"/>
    <col min="9217" max="9217" width="4" style="58" customWidth="1"/>
    <col min="9218" max="9218" width="34.5703125" style="58" customWidth="1"/>
    <col min="9219" max="9219" width="10.140625" style="58" customWidth="1"/>
    <col min="9220" max="9220" width="29.5703125" style="58" customWidth="1"/>
    <col min="9221" max="9221" width="12.5703125" style="58" customWidth="1"/>
    <col min="9222" max="9222" width="2.7109375" style="58" customWidth="1"/>
    <col min="9223" max="9223" width="11" style="58" customWidth="1"/>
    <col min="9224" max="9224" width="14.7109375" style="58" customWidth="1"/>
    <col min="9225" max="9225" width="0" style="58" hidden="1" customWidth="1"/>
    <col min="9226" max="9472" width="9.140625" style="58"/>
    <col min="9473" max="9473" width="4" style="58" customWidth="1"/>
    <col min="9474" max="9474" width="34.5703125" style="58" customWidth="1"/>
    <col min="9475" max="9475" width="10.140625" style="58" customWidth="1"/>
    <col min="9476" max="9476" width="29.5703125" style="58" customWidth="1"/>
    <col min="9477" max="9477" width="12.5703125" style="58" customWidth="1"/>
    <col min="9478" max="9478" width="2.7109375" style="58" customWidth="1"/>
    <col min="9479" max="9479" width="11" style="58" customWidth="1"/>
    <col min="9480" max="9480" width="14.7109375" style="58" customWidth="1"/>
    <col min="9481" max="9481" width="0" style="58" hidden="1" customWidth="1"/>
    <col min="9482" max="9728" width="9.140625" style="58"/>
    <col min="9729" max="9729" width="4" style="58" customWidth="1"/>
    <col min="9730" max="9730" width="34.5703125" style="58" customWidth="1"/>
    <col min="9731" max="9731" width="10.140625" style="58" customWidth="1"/>
    <col min="9732" max="9732" width="29.5703125" style="58" customWidth="1"/>
    <col min="9733" max="9733" width="12.5703125" style="58" customWidth="1"/>
    <col min="9734" max="9734" width="2.7109375" style="58" customWidth="1"/>
    <col min="9735" max="9735" width="11" style="58" customWidth="1"/>
    <col min="9736" max="9736" width="14.7109375" style="58" customWidth="1"/>
    <col min="9737" max="9737" width="0" style="58" hidden="1" customWidth="1"/>
    <col min="9738" max="9984" width="9.140625" style="58"/>
    <col min="9985" max="9985" width="4" style="58" customWidth="1"/>
    <col min="9986" max="9986" width="34.5703125" style="58" customWidth="1"/>
    <col min="9987" max="9987" width="10.140625" style="58" customWidth="1"/>
    <col min="9988" max="9988" width="29.5703125" style="58" customWidth="1"/>
    <col min="9989" max="9989" width="12.5703125" style="58" customWidth="1"/>
    <col min="9990" max="9990" width="2.7109375" style="58" customWidth="1"/>
    <col min="9991" max="9991" width="11" style="58" customWidth="1"/>
    <col min="9992" max="9992" width="14.7109375" style="58" customWidth="1"/>
    <col min="9993" max="9993" width="0" style="58" hidden="1" customWidth="1"/>
    <col min="9994" max="10240" width="9.140625" style="58"/>
    <col min="10241" max="10241" width="4" style="58" customWidth="1"/>
    <col min="10242" max="10242" width="34.5703125" style="58" customWidth="1"/>
    <col min="10243" max="10243" width="10.140625" style="58" customWidth="1"/>
    <col min="10244" max="10244" width="29.5703125" style="58" customWidth="1"/>
    <col min="10245" max="10245" width="12.5703125" style="58" customWidth="1"/>
    <col min="10246" max="10246" width="2.7109375" style="58" customWidth="1"/>
    <col min="10247" max="10247" width="11" style="58" customWidth="1"/>
    <col min="10248" max="10248" width="14.7109375" style="58" customWidth="1"/>
    <col min="10249" max="10249" width="0" style="58" hidden="1" customWidth="1"/>
    <col min="10250" max="10496" width="9.140625" style="58"/>
    <col min="10497" max="10497" width="4" style="58" customWidth="1"/>
    <col min="10498" max="10498" width="34.5703125" style="58" customWidth="1"/>
    <col min="10499" max="10499" width="10.140625" style="58" customWidth="1"/>
    <col min="10500" max="10500" width="29.5703125" style="58" customWidth="1"/>
    <col min="10501" max="10501" width="12.5703125" style="58" customWidth="1"/>
    <col min="10502" max="10502" width="2.7109375" style="58" customWidth="1"/>
    <col min="10503" max="10503" width="11" style="58" customWidth="1"/>
    <col min="10504" max="10504" width="14.7109375" style="58" customWidth="1"/>
    <col min="10505" max="10505" width="0" style="58" hidden="1" customWidth="1"/>
    <col min="10506" max="10752" width="9.140625" style="58"/>
    <col min="10753" max="10753" width="4" style="58" customWidth="1"/>
    <col min="10754" max="10754" width="34.5703125" style="58" customWidth="1"/>
    <col min="10755" max="10755" width="10.140625" style="58" customWidth="1"/>
    <col min="10756" max="10756" width="29.5703125" style="58" customWidth="1"/>
    <col min="10757" max="10757" width="12.5703125" style="58" customWidth="1"/>
    <col min="10758" max="10758" width="2.7109375" style="58" customWidth="1"/>
    <col min="10759" max="10759" width="11" style="58" customWidth="1"/>
    <col min="10760" max="10760" width="14.7109375" style="58" customWidth="1"/>
    <col min="10761" max="10761" width="0" style="58" hidden="1" customWidth="1"/>
    <col min="10762" max="11008" width="9.140625" style="58"/>
    <col min="11009" max="11009" width="4" style="58" customWidth="1"/>
    <col min="11010" max="11010" width="34.5703125" style="58" customWidth="1"/>
    <col min="11011" max="11011" width="10.140625" style="58" customWidth="1"/>
    <col min="11012" max="11012" width="29.5703125" style="58" customWidth="1"/>
    <col min="11013" max="11013" width="12.5703125" style="58" customWidth="1"/>
    <col min="11014" max="11014" width="2.7109375" style="58" customWidth="1"/>
    <col min="11015" max="11015" width="11" style="58" customWidth="1"/>
    <col min="11016" max="11016" width="14.7109375" style="58" customWidth="1"/>
    <col min="11017" max="11017" width="0" style="58" hidden="1" customWidth="1"/>
    <col min="11018" max="11264" width="9.140625" style="58"/>
    <col min="11265" max="11265" width="4" style="58" customWidth="1"/>
    <col min="11266" max="11266" width="34.5703125" style="58" customWidth="1"/>
    <col min="11267" max="11267" width="10.140625" style="58" customWidth="1"/>
    <col min="11268" max="11268" width="29.5703125" style="58" customWidth="1"/>
    <col min="11269" max="11269" width="12.5703125" style="58" customWidth="1"/>
    <col min="11270" max="11270" width="2.7109375" style="58" customWidth="1"/>
    <col min="11271" max="11271" width="11" style="58" customWidth="1"/>
    <col min="11272" max="11272" width="14.7109375" style="58" customWidth="1"/>
    <col min="11273" max="11273" width="0" style="58" hidden="1" customWidth="1"/>
    <col min="11274" max="11520" width="9.140625" style="58"/>
    <col min="11521" max="11521" width="4" style="58" customWidth="1"/>
    <col min="11522" max="11522" width="34.5703125" style="58" customWidth="1"/>
    <col min="11523" max="11523" width="10.140625" style="58" customWidth="1"/>
    <col min="11524" max="11524" width="29.5703125" style="58" customWidth="1"/>
    <col min="11525" max="11525" width="12.5703125" style="58" customWidth="1"/>
    <col min="11526" max="11526" width="2.7109375" style="58" customWidth="1"/>
    <col min="11527" max="11527" width="11" style="58" customWidth="1"/>
    <col min="11528" max="11528" width="14.7109375" style="58" customWidth="1"/>
    <col min="11529" max="11529" width="0" style="58" hidden="1" customWidth="1"/>
    <col min="11530" max="11776" width="9.140625" style="58"/>
    <col min="11777" max="11777" width="4" style="58" customWidth="1"/>
    <col min="11778" max="11778" width="34.5703125" style="58" customWidth="1"/>
    <col min="11779" max="11779" width="10.140625" style="58" customWidth="1"/>
    <col min="11780" max="11780" width="29.5703125" style="58" customWidth="1"/>
    <col min="11781" max="11781" width="12.5703125" style="58" customWidth="1"/>
    <col min="11782" max="11782" width="2.7109375" style="58" customWidth="1"/>
    <col min="11783" max="11783" width="11" style="58" customWidth="1"/>
    <col min="11784" max="11784" width="14.7109375" style="58" customWidth="1"/>
    <col min="11785" max="11785" width="0" style="58" hidden="1" customWidth="1"/>
    <col min="11786" max="12032" width="9.140625" style="58"/>
    <col min="12033" max="12033" width="4" style="58" customWidth="1"/>
    <col min="12034" max="12034" width="34.5703125" style="58" customWidth="1"/>
    <col min="12035" max="12035" width="10.140625" style="58" customWidth="1"/>
    <col min="12036" max="12036" width="29.5703125" style="58" customWidth="1"/>
    <col min="12037" max="12037" width="12.5703125" style="58" customWidth="1"/>
    <col min="12038" max="12038" width="2.7109375" style="58" customWidth="1"/>
    <col min="12039" max="12039" width="11" style="58" customWidth="1"/>
    <col min="12040" max="12040" width="14.7109375" style="58" customWidth="1"/>
    <col min="12041" max="12041" width="0" style="58" hidden="1" customWidth="1"/>
    <col min="12042" max="12288" width="9.140625" style="58"/>
    <col min="12289" max="12289" width="4" style="58" customWidth="1"/>
    <col min="12290" max="12290" width="34.5703125" style="58" customWidth="1"/>
    <col min="12291" max="12291" width="10.140625" style="58" customWidth="1"/>
    <col min="12292" max="12292" width="29.5703125" style="58" customWidth="1"/>
    <col min="12293" max="12293" width="12.5703125" style="58" customWidth="1"/>
    <col min="12294" max="12294" width="2.7109375" style="58" customWidth="1"/>
    <col min="12295" max="12295" width="11" style="58" customWidth="1"/>
    <col min="12296" max="12296" width="14.7109375" style="58" customWidth="1"/>
    <col min="12297" max="12297" width="0" style="58" hidden="1" customWidth="1"/>
    <col min="12298" max="12544" width="9.140625" style="58"/>
    <col min="12545" max="12545" width="4" style="58" customWidth="1"/>
    <col min="12546" max="12546" width="34.5703125" style="58" customWidth="1"/>
    <col min="12547" max="12547" width="10.140625" style="58" customWidth="1"/>
    <col min="12548" max="12548" width="29.5703125" style="58" customWidth="1"/>
    <col min="12549" max="12549" width="12.5703125" style="58" customWidth="1"/>
    <col min="12550" max="12550" width="2.7109375" style="58" customWidth="1"/>
    <col min="12551" max="12551" width="11" style="58" customWidth="1"/>
    <col min="12552" max="12552" width="14.7109375" style="58" customWidth="1"/>
    <col min="12553" max="12553" width="0" style="58" hidden="1" customWidth="1"/>
    <col min="12554" max="12800" width="9.140625" style="58"/>
    <col min="12801" max="12801" width="4" style="58" customWidth="1"/>
    <col min="12802" max="12802" width="34.5703125" style="58" customWidth="1"/>
    <col min="12803" max="12803" width="10.140625" style="58" customWidth="1"/>
    <col min="12804" max="12804" width="29.5703125" style="58" customWidth="1"/>
    <col min="12805" max="12805" width="12.5703125" style="58" customWidth="1"/>
    <col min="12806" max="12806" width="2.7109375" style="58" customWidth="1"/>
    <col min="12807" max="12807" width="11" style="58" customWidth="1"/>
    <col min="12808" max="12808" width="14.7109375" style="58" customWidth="1"/>
    <col min="12809" max="12809" width="0" style="58" hidden="1" customWidth="1"/>
    <col min="12810" max="13056" width="9.140625" style="58"/>
    <col min="13057" max="13057" width="4" style="58" customWidth="1"/>
    <col min="13058" max="13058" width="34.5703125" style="58" customWidth="1"/>
    <col min="13059" max="13059" width="10.140625" style="58" customWidth="1"/>
    <col min="13060" max="13060" width="29.5703125" style="58" customWidth="1"/>
    <col min="13061" max="13061" width="12.5703125" style="58" customWidth="1"/>
    <col min="13062" max="13062" width="2.7109375" style="58" customWidth="1"/>
    <col min="13063" max="13063" width="11" style="58" customWidth="1"/>
    <col min="13064" max="13064" width="14.7109375" style="58" customWidth="1"/>
    <col min="13065" max="13065" width="0" style="58" hidden="1" customWidth="1"/>
    <col min="13066" max="13312" width="9.140625" style="58"/>
    <col min="13313" max="13313" width="4" style="58" customWidth="1"/>
    <col min="13314" max="13314" width="34.5703125" style="58" customWidth="1"/>
    <col min="13315" max="13315" width="10.140625" style="58" customWidth="1"/>
    <col min="13316" max="13316" width="29.5703125" style="58" customWidth="1"/>
    <col min="13317" max="13317" width="12.5703125" style="58" customWidth="1"/>
    <col min="13318" max="13318" width="2.7109375" style="58" customWidth="1"/>
    <col min="13319" max="13319" width="11" style="58" customWidth="1"/>
    <col min="13320" max="13320" width="14.7109375" style="58" customWidth="1"/>
    <col min="13321" max="13321" width="0" style="58" hidden="1" customWidth="1"/>
    <col min="13322" max="13568" width="9.140625" style="58"/>
    <col min="13569" max="13569" width="4" style="58" customWidth="1"/>
    <col min="13570" max="13570" width="34.5703125" style="58" customWidth="1"/>
    <col min="13571" max="13571" width="10.140625" style="58" customWidth="1"/>
    <col min="13572" max="13572" width="29.5703125" style="58" customWidth="1"/>
    <col min="13573" max="13573" width="12.5703125" style="58" customWidth="1"/>
    <col min="13574" max="13574" width="2.7109375" style="58" customWidth="1"/>
    <col min="13575" max="13575" width="11" style="58" customWidth="1"/>
    <col min="13576" max="13576" width="14.7109375" style="58" customWidth="1"/>
    <col min="13577" max="13577" width="0" style="58" hidden="1" customWidth="1"/>
    <col min="13578" max="13824" width="9.140625" style="58"/>
    <col min="13825" max="13825" width="4" style="58" customWidth="1"/>
    <col min="13826" max="13826" width="34.5703125" style="58" customWidth="1"/>
    <col min="13827" max="13827" width="10.140625" style="58" customWidth="1"/>
    <col min="13828" max="13828" width="29.5703125" style="58" customWidth="1"/>
    <col min="13829" max="13829" width="12.5703125" style="58" customWidth="1"/>
    <col min="13830" max="13830" width="2.7109375" style="58" customWidth="1"/>
    <col min="13831" max="13831" width="11" style="58" customWidth="1"/>
    <col min="13832" max="13832" width="14.7109375" style="58" customWidth="1"/>
    <col min="13833" max="13833" width="0" style="58" hidden="1" customWidth="1"/>
    <col min="13834" max="14080" width="9.140625" style="58"/>
    <col min="14081" max="14081" width="4" style="58" customWidth="1"/>
    <col min="14082" max="14082" width="34.5703125" style="58" customWidth="1"/>
    <col min="14083" max="14083" width="10.140625" style="58" customWidth="1"/>
    <col min="14084" max="14084" width="29.5703125" style="58" customWidth="1"/>
    <col min="14085" max="14085" width="12.5703125" style="58" customWidth="1"/>
    <col min="14086" max="14086" width="2.7109375" style="58" customWidth="1"/>
    <col min="14087" max="14087" width="11" style="58" customWidth="1"/>
    <col min="14088" max="14088" width="14.7109375" style="58" customWidth="1"/>
    <col min="14089" max="14089" width="0" style="58" hidden="1" customWidth="1"/>
    <col min="14090" max="14336" width="9.140625" style="58"/>
    <col min="14337" max="14337" width="4" style="58" customWidth="1"/>
    <col min="14338" max="14338" width="34.5703125" style="58" customWidth="1"/>
    <col min="14339" max="14339" width="10.140625" style="58" customWidth="1"/>
    <col min="14340" max="14340" width="29.5703125" style="58" customWidth="1"/>
    <col min="14341" max="14341" width="12.5703125" style="58" customWidth="1"/>
    <col min="14342" max="14342" width="2.7109375" style="58" customWidth="1"/>
    <col min="14343" max="14343" width="11" style="58" customWidth="1"/>
    <col min="14344" max="14344" width="14.7109375" style="58" customWidth="1"/>
    <col min="14345" max="14345" width="0" style="58" hidden="1" customWidth="1"/>
    <col min="14346" max="14592" width="9.140625" style="58"/>
    <col min="14593" max="14593" width="4" style="58" customWidth="1"/>
    <col min="14594" max="14594" width="34.5703125" style="58" customWidth="1"/>
    <col min="14595" max="14595" width="10.140625" style="58" customWidth="1"/>
    <col min="14596" max="14596" width="29.5703125" style="58" customWidth="1"/>
    <col min="14597" max="14597" width="12.5703125" style="58" customWidth="1"/>
    <col min="14598" max="14598" width="2.7109375" style="58" customWidth="1"/>
    <col min="14599" max="14599" width="11" style="58" customWidth="1"/>
    <col min="14600" max="14600" width="14.7109375" style="58" customWidth="1"/>
    <col min="14601" max="14601" width="0" style="58" hidden="1" customWidth="1"/>
    <col min="14602" max="14848" width="9.140625" style="58"/>
    <col min="14849" max="14849" width="4" style="58" customWidth="1"/>
    <col min="14850" max="14850" width="34.5703125" style="58" customWidth="1"/>
    <col min="14851" max="14851" width="10.140625" style="58" customWidth="1"/>
    <col min="14852" max="14852" width="29.5703125" style="58" customWidth="1"/>
    <col min="14853" max="14853" width="12.5703125" style="58" customWidth="1"/>
    <col min="14854" max="14854" width="2.7109375" style="58" customWidth="1"/>
    <col min="14855" max="14855" width="11" style="58" customWidth="1"/>
    <col min="14856" max="14856" width="14.7109375" style="58" customWidth="1"/>
    <col min="14857" max="14857" width="0" style="58" hidden="1" customWidth="1"/>
    <col min="14858" max="15104" width="9.140625" style="58"/>
    <col min="15105" max="15105" width="4" style="58" customWidth="1"/>
    <col min="15106" max="15106" width="34.5703125" style="58" customWidth="1"/>
    <col min="15107" max="15107" width="10.140625" style="58" customWidth="1"/>
    <col min="15108" max="15108" width="29.5703125" style="58" customWidth="1"/>
    <col min="15109" max="15109" width="12.5703125" style="58" customWidth="1"/>
    <col min="15110" max="15110" width="2.7109375" style="58" customWidth="1"/>
    <col min="15111" max="15111" width="11" style="58" customWidth="1"/>
    <col min="15112" max="15112" width="14.7109375" style="58" customWidth="1"/>
    <col min="15113" max="15113" width="0" style="58" hidden="1" customWidth="1"/>
    <col min="15114" max="15360" width="9.140625" style="58"/>
    <col min="15361" max="15361" width="4" style="58" customWidth="1"/>
    <col min="15362" max="15362" width="34.5703125" style="58" customWidth="1"/>
    <col min="15363" max="15363" width="10.140625" style="58" customWidth="1"/>
    <col min="15364" max="15364" width="29.5703125" style="58" customWidth="1"/>
    <col min="15365" max="15365" width="12.5703125" style="58" customWidth="1"/>
    <col min="15366" max="15366" width="2.7109375" style="58" customWidth="1"/>
    <col min="15367" max="15367" width="11" style="58" customWidth="1"/>
    <col min="15368" max="15368" width="14.7109375" style="58" customWidth="1"/>
    <col min="15369" max="15369" width="0" style="58" hidden="1" customWidth="1"/>
    <col min="15370" max="15616" width="9.140625" style="58"/>
    <col min="15617" max="15617" width="4" style="58" customWidth="1"/>
    <col min="15618" max="15618" width="34.5703125" style="58" customWidth="1"/>
    <col min="15619" max="15619" width="10.140625" style="58" customWidth="1"/>
    <col min="15620" max="15620" width="29.5703125" style="58" customWidth="1"/>
    <col min="15621" max="15621" width="12.5703125" style="58" customWidth="1"/>
    <col min="15622" max="15622" width="2.7109375" style="58" customWidth="1"/>
    <col min="15623" max="15623" width="11" style="58" customWidth="1"/>
    <col min="15624" max="15624" width="14.7109375" style="58" customWidth="1"/>
    <col min="15625" max="15625" width="0" style="58" hidden="1" customWidth="1"/>
    <col min="15626" max="15872" width="9.140625" style="58"/>
    <col min="15873" max="15873" width="4" style="58" customWidth="1"/>
    <col min="15874" max="15874" width="34.5703125" style="58" customWidth="1"/>
    <col min="15875" max="15875" width="10.140625" style="58" customWidth="1"/>
    <col min="15876" max="15876" width="29.5703125" style="58" customWidth="1"/>
    <col min="15877" max="15877" width="12.5703125" style="58" customWidth="1"/>
    <col min="15878" max="15878" width="2.7109375" style="58" customWidth="1"/>
    <col min="15879" max="15879" width="11" style="58" customWidth="1"/>
    <col min="15880" max="15880" width="14.7109375" style="58" customWidth="1"/>
    <col min="15881" max="15881" width="0" style="58" hidden="1" customWidth="1"/>
    <col min="15882" max="16128" width="9.140625" style="58"/>
    <col min="16129" max="16129" width="4" style="58" customWidth="1"/>
    <col min="16130" max="16130" width="34.5703125" style="58" customWidth="1"/>
    <col min="16131" max="16131" width="10.140625" style="58" customWidth="1"/>
    <col min="16132" max="16132" width="29.5703125" style="58" customWidth="1"/>
    <col min="16133" max="16133" width="12.5703125" style="58" customWidth="1"/>
    <col min="16134" max="16134" width="2.7109375" style="58" customWidth="1"/>
    <col min="16135" max="16135" width="11" style="58" customWidth="1"/>
    <col min="16136" max="16136" width="14.7109375" style="58" customWidth="1"/>
    <col min="16137" max="16137" width="0" style="58" hidden="1" customWidth="1"/>
    <col min="16138" max="16384" width="9.140625" style="58"/>
  </cols>
  <sheetData>
    <row r="1" spans="1:32" ht="27" customHeight="1" x14ac:dyDescent="0.25"/>
    <row r="2" spans="1:32" x14ac:dyDescent="0.25">
      <c r="A2" s="2241" t="s">
        <v>557</v>
      </c>
      <c r="B2" s="2241"/>
      <c r="C2" s="2241"/>
      <c r="D2" s="2241"/>
      <c r="E2" s="2241"/>
      <c r="F2" s="2241"/>
      <c r="G2" s="2241"/>
      <c r="H2" s="2241"/>
      <c r="I2" s="1137"/>
    </row>
    <row r="3" spans="1:32" ht="57" customHeight="1" x14ac:dyDescent="0.25">
      <c r="A3" s="2242" t="str">
        <f>' ССР (нов)'!A6:G6</f>
        <v xml:space="preserve">Реконструкция теплового ввода </v>
      </c>
      <c r="B3" s="2242"/>
      <c r="C3" s="2242"/>
      <c r="D3" s="2242"/>
      <c r="E3" s="2242"/>
      <c r="F3" s="2242"/>
      <c r="G3" s="2242"/>
      <c r="H3" s="2242"/>
      <c r="I3" s="1137"/>
    </row>
    <row r="4" spans="1:32" ht="23.25" customHeight="1" x14ac:dyDescent="0.25">
      <c r="A4" s="2243" t="str">
        <f>' ССР (нов)'!A7:G7</f>
        <v>г. Москва , ул. Мневники д.4</v>
      </c>
      <c r="B4" s="2243"/>
      <c r="C4" s="2243"/>
      <c r="D4" s="2243"/>
      <c r="E4" s="2243"/>
      <c r="F4" s="2243"/>
      <c r="G4" s="2243"/>
      <c r="H4" s="2243"/>
      <c r="I4" s="1137"/>
    </row>
    <row r="5" spans="1:32" ht="60" customHeight="1" x14ac:dyDescent="0.25">
      <c r="A5" s="2243" t="s">
        <v>640</v>
      </c>
      <c r="B5" s="2243"/>
      <c r="C5" s="2243"/>
      <c r="D5" s="2243"/>
      <c r="E5" s="2243"/>
      <c r="F5" s="2243"/>
      <c r="G5" s="2243"/>
      <c r="H5" s="2243"/>
      <c r="I5" s="1137"/>
    </row>
    <row r="6" spans="1:32" ht="87" customHeight="1" thickBot="1" x14ac:dyDescent="0.3">
      <c r="A6" s="2244" t="s">
        <v>519</v>
      </c>
      <c r="B6" s="2245"/>
      <c r="C6" s="2245"/>
      <c r="D6" s="2245"/>
      <c r="E6" s="2245"/>
      <c r="F6" s="2245"/>
      <c r="G6" s="2245"/>
      <c r="H6" s="2246"/>
      <c r="I6" s="1137"/>
    </row>
    <row r="7" spans="1:32" ht="27" customHeight="1" x14ac:dyDescent="0.25">
      <c r="A7" s="2247" t="s">
        <v>499</v>
      </c>
      <c r="B7" s="2249" t="s">
        <v>32</v>
      </c>
      <c r="C7" s="2250"/>
      <c r="D7" s="2253" t="s">
        <v>520</v>
      </c>
      <c r="E7" s="1177" t="s">
        <v>521</v>
      </c>
      <c r="F7" s="1177"/>
      <c r="G7" s="1177"/>
      <c r="H7" s="2255" t="s">
        <v>444</v>
      </c>
    </row>
    <row r="8" spans="1:32" ht="25.5" customHeight="1" x14ac:dyDescent="0.25">
      <c r="A8" s="2248"/>
      <c r="B8" s="2251"/>
      <c r="C8" s="2252"/>
      <c r="D8" s="2254"/>
      <c r="E8" s="1178" t="s">
        <v>522</v>
      </c>
      <c r="F8" s="2257" t="s">
        <v>523</v>
      </c>
      <c r="G8" s="2257"/>
      <c r="H8" s="2256"/>
    </row>
    <row r="9" spans="1:32" x14ac:dyDescent="0.25">
      <c r="A9" s="1160">
        <v>1</v>
      </c>
      <c r="B9" s="2233">
        <v>2</v>
      </c>
      <c r="C9" s="2234"/>
      <c r="D9" s="1179">
        <v>3</v>
      </c>
      <c r="E9" s="1179">
        <v>4</v>
      </c>
      <c r="F9" s="2235">
        <v>5</v>
      </c>
      <c r="G9" s="2236"/>
      <c r="H9" s="1180">
        <v>6</v>
      </c>
    </row>
    <row r="10" spans="1:32" s="1185" customFormat="1" ht="19.5" thickBot="1" x14ac:dyDescent="0.35">
      <c r="A10" s="1181"/>
      <c r="B10" s="1182" t="s">
        <v>524</v>
      </c>
      <c r="C10" s="2237" t="str">
        <f>обслед!D10</f>
        <v>г.Москва, Сторожевая ул., д.18 (пристройка)</v>
      </c>
      <c r="D10" s="2237"/>
      <c r="E10" s="2237"/>
      <c r="F10" s="1183"/>
      <c r="G10" s="1183"/>
      <c r="H10" s="1184"/>
    </row>
    <row r="11" spans="1:32" s="709" customFormat="1" ht="16.5" thickBot="1" x14ac:dyDescent="0.3">
      <c r="A11" s="1186">
        <v>1</v>
      </c>
      <c r="B11" s="728" t="s">
        <v>525</v>
      </c>
      <c r="C11" s="729"/>
      <c r="D11" s="729"/>
      <c r="E11" s="729"/>
      <c r="F11" s="729"/>
      <c r="G11" s="729"/>
      <c r="H11" s="1187"/>
      <c r="K11" s="706"/>
      <c r="L11" s="706"/>
      <c r="M11" s="706"/>
      <c r="N11" s="706"/>
      <c r="O11" s="706"/>
      <c r="P11" s="706"/>
      <c r="S11" s="706"/>
      <c r="T11" s="706"/>
      <c r="U11" s="706"/>
      <c r="V11" s="706"/>
      <c r="W11" s="706"/>
      <c r="X11" s="706"/>
      <c r="Y11" s="706"/>
      <c r="Z11" s="706"/>
      <c r="AA11" s="706"/>
      <c r="AB11" s="706"/>
      <c r="AC11" s="706"/>
      <c r="AD11" s="706"/>
      <c r="AE11" s="706"/>
      <c r="AF11" s="706"/>
    </row>
    <row r="12" spans="1:32" s="717" customFormat="1" ht="16.5" customHeight="1" x14ac:dyDescent="0.25">
      <c r="A12" s="2058"/>
      <c r="B12" s="731" t="s">
        <v>315</v>
      </c>
      <c r="C12" s="732"/>
      <c r="D12" s="732"/>
      <c r="E12" s="732"/>
      <c r="F12" s="733"/>
      <c r="G12" s="1188">
        <f>обслед!G12</f>
        <v>5</v>
      </c>
      <c r="H12" s="1189"/>
      <c r="I12" s="735"/>
      <c r="J12" s="736"/>
    </row>
    <row r="13" spans="1:32" s="717" customFormat="1" ht="16.5" customHeight="1" x14ac:dyDescent="0.25">
      <c r="A13" s="2058"/>
      <c r="B13" s="737" t="s">
        <v>316</v>
      </c>
      <c r="C13" s="738"/>
      <c r="D13" s="738"/>
      <c r="E13" s="738"/>
      <c r="F13" s="739"/>
      <c r="G13" s="1190">
        <f>обслед!G13</f>
        <v>122</v>
      </c>
      <c r="H13" s="1191"/>
      <c r="I13" s="741"/>
      <c r="J13" s="736"/>
    </row>
    <row r="14" spans="1:32" s="717" customFormat="1" ht="16.5" customHeight="1" x14ac:dyDescent="0.25">
      <c r="A14" s="2058"/>
      <c r="B14" s="742" t="s">
        <v>317</v>
      </c>
      <c r="C14" s="743"/>
      <c r="D14" s="743"/>
      <c r="E14" s="743"/>
      <c r="F14" s="744"/>
      <c r="G14" s="1190">
        <f>G13</f>
        <v>122</v>
      </c>
      <c r="H14" s="1191"/>
      <c r="I14" s="741"/>
      <c r="J14" s="736"/>
    </row>
    <row r="15" spans="1:32" s="717" customFormat="1" ht="16.5" customHeight="1" x14ac:dyDescent="0.25">
      <c r="A15" s="2058"/>
      <c r="B15" s="1192" t="s">
        <v>318</v>
      </c>
      <c r="C15" s="746"/>
      <c r="D15" s="746"/>
      <c r="E15" s="747" t="s">
        <v>319</v>
      </c>
      <c r="F15" s="748"/>
      <c r="G15" s="1193">
        <v>2</v>
      </c>
      <c r="H15" s="1194"/>
      <c r="I15" s="736"/>
      <c r="J15" s="736"/>
    </row>
    <row r="16" spans="1:32" s="717" customFormat="1" ht="16.5" customHeight="1" x14ac:dyDescent="0.25">
      <c r="A16" s="2058"/>
      <c r="B16" s="1195" t="s">
        <v>320</v>
      </c>
      <c r="C16" s="736"/>
      <c r="D16" s="736"/>
      <c r="E16" s="736"/>
      <c r="F16" s="751"/>
      <c r="G16" s="1196"/>
      <c r="H16" s="1197"/>
      <c r="I16" s="753"/>
      <c r="J16" s="753"/>
    </row>
    <row r="17" spans="1:11" s="717" customFormat="1" ht="18.75" customHeight="1" x14ac:dyDescent="0.25">
      <c r="A17" s="2058"/>
      <c r="B17" s="1198" t="s">
        <v>321</v>
      </c>
      <c r="C17" s="755"/>
      <c r="D17" s="755"/>
      <c r="E17" s="754" t="s">
        <v>310</v>
      </c>
      <c r="F17" s="756"/>
      <c r="G17" s="1193"/>
      <c r="H17" s="1194"/>
      <c r="I17" s="736"/>
      <c r="J17" s="736"/>
    </row>
    <row r="18" spans="1:11" s="762" customFormat="1" ht="18.75" hidden="1" customHeight="1" x14ac:dyDescent="0.2">
      <c r="A18" s="2058"/>
      <c r="B18" s="1199" t="s">
        <v>322</v>
      </c>
      <c r="C18" s="758"/>
      <c r="D18" s="758"/>
      <c r="E18" s="757" t="s">
        <v>323</v>
      </c>
      <c r="F18" s="759"/>
      <c r="G18" s="1200">
        <v>1</v>
      </c>
      <c r="H18" s="1201"/>
      <c r="I18" s="761"/>
      <c r="J18" s="761"/>
    </row>
    <row r="19" spans="1:11" s="762" customFormat="1" ht="24.75" hidden="1" customHeight="1" x14ac:dyDescent="0.2">
      <c r="A19" s="2058"/>
      <c r="B19" s="1199" t="s">
        <v>324</v>
      </c>
      <c r="C19" s="758"/>
      <c r="D19" s="758"/>
      <c r="E19" s="757" t="s">
        <v>325</v>
      </c>
      <c r="F19" s="759"/>
      <c r="G19" s="1200">
        <v>1</v>
      </c>
      <c r="H19" s="1202"/>
      <c r="I19" s="763"/>
      <c r="J19" s="763"/>
    </row>
    <row r="20" spans="1:11" s="768" customFormat="1" ht="18.75" customHeight="1" x14ac:dyDescent="0.25">
      <c r="A20" s="2058"/>
      <c r="B20" s="2238" t="s">
        <v>326</v>
      </c>
      <c r="C20" s="2083"/>
      <c r="D20" s="2084"/>
      <c r="E20" s="764" t="s">
        <v>327</v>
      </c>
      <c r="F20" s="765"/>
      <c r="G20" s="1203">
        <v>1.1000000000000001</v>
      </c>
      <c r="H20" s="1204"/>
      <c r="I20" s="767"/>
      <c r="J20" s="767"/>
    </row>
    <row r="21" spans="1:11" s="717" customFormat="1" ht="17.25" customHeight="1" x14ac:dyDescent="0.25">
      <c r="A21" s="2058"/>
      <c r="B21" s="1205" t="s">
        <v>328</v>
      </c>
      <c r="C21" s="769"/>
      <c r="D21" s="769"/>
      <c r="E21" s="747" t="s">
        <v>435</v>
      </c>
      <c r="F21" s="770"/>
      <c r="G21" s="1193">
        <f>[1]обслед!G21</f>
        <v>2.5</v>
      </c>
      <c r="H21" s="1206"/>
      <c r="I21" s="771"/>
      <c r="J21" s="771"/>
    </row>
    <row r="22" spans="1:11" s="717" customFormat="1" ht="15" hidden="1" customHeight="1" x14ac:dyDescent="0.25">
      <c r="A22" s="2058"/>
      <c r="B22" s="1205" t="s">
        <v>330</v>
      </c>
      <c r="C22" s="769"/>
      <c r="D22" s="769"/>
      <c r="E22" s="747" t="s">
        <v>331</v>
      </c>
      <c r="F22" s="770"/>
      <c r="G22" s="1193"/>
      <c r="H22" s="1206"/>
      <c r="I22" s="771"/>
      <c r="J22" s="771"/>
    </row>
    <row r="23" spans="1:11" s="717" customFormat="1" x14ac:dyDescent="0.25">
      <c r="A23" s="2058"/>
      <c r="B23" s="1207" t="s">
        <v>332</v>
      </c>
      <c r="C23" s="773"/>
      <c r="D23" s="773"/>
      <c r="E23" s="772" t="s">
        <v>333</v>
      </c>
      <c r="F23" s="774"/>
      <c r="G23" s="1208">
        <f>ROUND(PRODUCT(G18:G21),2)</f>
        <v>2.75</v>
      </c>
      <c r="H23" s="1209"/>
      <c r="I23" s="776"/>
      <c r="J23" s="776"/>
    </row>
    <row r="24" spans="1:11" s="717" customFormat="1" ht="16.5" customHeight="1" x14ac:dyDescent="0.25">
      <c r="A24" s="2058"/>
      <c r="B24" s="1205" t="s">
        <v>334</v>
      </c>
      <c r="C24" s="769"/>
      <c r="D24" s="769"/>
      <c r="E24" s="747" t="s">
        <v>335</v>
      </c>
      <c r="F24" s="770"/>
      <c r="G24" s="1208">
        <v>1</v>
      </c>
      <c r="H24" s="1210"/>
      <c r="I24" s="777"/>
      <c r="J24" s="777"/>
    </row>
    <row r="25" spans="1:11" s="717" customFormat="1" ht="16.5" customHeight="1" x14ac:dyDescent="0.25">
      <c r="A25" s="2058"/>
      <c r="B25" s="1211" t="s">
        <v>336</v>
      </c>
      <c r="C25" s="779"/>
      <c r="D25" s="779"/>
      <c r="E25" s="736"/>
      <c r="F25" s="751"/>
      <c r="G25" s="1193"/>
      <c r="H25" s="1194"/>
      <c r="I25" s="736"/>
      <c r="J25" s="736"/>
    </row>
    <row r="26" spans="1:11" s="717" customFormat="1" ht="15.75" customHeight="1" x14ac:dyDescent="0.25">
      <c r="A26" s="2058"/>
      <c r="B26" s="2239" t="s">
        <v>337</v>
      </c>
      <c r="C26" s="2086"/>
      <c r="D26" s="2087"/>
      <c r="E26" s="747" t="s">
        <v>338</v>
      </c>
      <c r="F26" s="770"/>
      <c r="G26" s="1212">
        <v>6.0999999999999999E-2</v>
      </c>
      <c r="H26" s="1194"/>
      <c r="I26" s="736"/>
      <c r="J26" s="736"/>
    </row>
    <row r="27" spans="1:11" s="717" customFormat="1" ht="16.5" customHeight="1" x14ac:dyDescent="0.25">
      <c r="A27" s="2058"/>
      <c r="B27" s="2239" t="s">
        <v>339</v>
      </c>
      <c r="C27" s="2086"/>
      <c r="D27" s="2087"/>
      <c r="E27" s="747" t="s">
        <v>340</v>
      </c>
      <c r="F27" s="770"/>
      <c r="G27" s="1212">
        <f>0.189</f>
        <v>0.189</v>
      </c>
      <c r="H27" s="1194"/>
      <c r="I27" s="736"/>
      <c r="J27" s="781"/>
    </row>
    <row r="28" spans="1:11" s="717" customFormat="1" ht="16.5" customHeight="1" x14ac:dyDescent="0.25">
      <c r="A28" s="2058"/>
      <c r="B28" s="2239" t="s">
        <v>341</v>
      </c>
      <c r="C28" s="2086"/>
      <c r="D28" s="2087"/>
      <c r="E28" s="747" t="s">
        <v>342</v>
      </c>
      <c r="F28" s="770"/>
      <c r="G28" s="1212">
        <f>0.109</f>
        <v>0.109</v>
      </c>
      <c r="H28" s="1194"/>
      <c r="I28" s="736"/>
      <c r="J28" s="736"/>
    </row>
    <row r="29" spans="1:11" s="717" customFormat="1" ht="30.75" hidden="1" customHeight="1" x14ac:dyDescent="0.25">
      <c r="A29" s="2058"/>
      <c r="B29" s="2240" t="s">
        <v>343</v>
      </c>
      <c r="C29" s="2089"/>
      <c r="D29" s="2090"/>
      <c r="E29" s="747" t="s">
        <v>344</v>
      </c>
      <c r="F29" s="770"/>
      <c r="G29" s="1212">
        <f>0.051*0</f>
        <v>0</v>
      </c>
      <c r="H29" s="1194"/>
      <c r="I29" s="736"/>
      <c r="J29" s="736"/>
    </row>
    <row r="30" spans="1:11" s="717" customFormat="1" ht="15.75" hidden="1" customHeight="1" x14ac:dyDescent="0.25">
      <c r="A30" s="2058"/>
      <c r="B30" s="1213" t="s">
        <v>345</v>
      </c>
      <c r="C30" s="782"/>
      <c r="D30" s="782"/>
      <c r="E30" s="747" t="s">
        <v>346</v>
      </c>
      <c r="F30" s="770"/>
      <c r="G30" s="1212">
        <f>0.269*0</f>
        <v>0</v>
      </c>
      <c r="H30" s="1194"/>
      <c r="I30" s="736"/>
      <c r="J30" s="736"/>
      <c r="K30" s="783"/>
    </row>
    <row r="31" spans="1:11" s="717" customFormat="1" ht="20.25" hidden="1" customHeight="1" x14ac:dyDescent="0.25">
      <c r="A31" s="2058"/>
      <c r="B31" s="1213" t="s">
        <v>347</v>
      </c>
      <c r="C31" s="784"/>
      <c r="D31" s="784"/>
      <c r="E31" s="747" t="s">
        <v>348</v>
      </c>
      <c r="F31" s="748"/>
      <c r="G31" s="1212">
        <f>0.043*0</f>
        <v>0</v>
      </c>
      <c r="H31" s="1194"/>
      <c r="I31" s="736"/>
      <c r="J31" s="736"/>
    </row>
    <row r="32" spans="1:11" s="717" customFormat="1" ht="15.75" hidden="1" customHeight="1" x14ac:dyDescent="0.25">
      <c r="A32" s="2058"/>
      <c r="B32" s="1213" t="s">
        <v>349</v>
      </c>
      <c r="C32" s="782"/>
      <c r="D32" s="782"/>
      <c r="E32" s="747" t="s">
        <v>350</v>
      </c>
      <c r="F32" s="770"/>
      <c r="G32" s="1212">
        <f>0.08*0</f>
        <v>0</v>
      </c>
      <c r="H32" s="1194"/>
      <c r="I32" s="736"/>
      <c r="J32" s="736"/>
      <c r="K32" s="783"/>
    </row>
    <row r="33" spans="1:12" s="783" customFormat="1" ht="16.5" hidden="1" customHeight="1" x14ac:dyDescent="0.3">
      <c r="A33" s="2058"/>
      <c r="B33" s="1214" t="s">
        <v>351</v>
      </c>
      <c r="C33" s="785"/>
      <c r="D33" s="786"/>
      <c r="E33" s="747" t="s">
        <v>352</v>
      </c>
      <c r="F33" s="787"/>
      <c r="G33" s="1212">
        <f>0.107*0</f>
        <v>0</v>
      </c>
      <c r="H33" s="1215" t="s">
        <v>353</v>
      </c>
      <c r="I33" s="789"/>
      <c r="J33" s="789"/>
    </row>
    <row r="34" spans="1:12" s="717" customFormat="1" ht="16.5" hidden="1" customHeight="1" x14ac:dyDescent="0.25">
      <c r="A34" s="2058"/>
      <c r="B34" s="1213" t="s">
        <v>354</v>
      </c>
      <c r="C34" s="782"/>
      <c r="D34" s="782"/>
      <c r="E34" s="747" t="s">
        <v>355</v>
      </c>
      <c r="F34" s="770"/>
      <c r="G34" s="1212">
        <f>0.043*0</f>
        <v>0</v>
      </c>
      <c r="H34" s="1194"/>
      <c r="I34" s="736"/>
      <c r="J34" s="736"/>
    </row>
    <row r="35" spans="1:12" s="717" customFormat="1" ht="16.5" hidden="1" customHeight="1" x14ac:dyDescent="0.25">
      <c r="A35" s="2058"/>
      <c r="B35" s="1216" t="s">
        <v>356</v>
      </c>
      <c r="C35" s="784"/>
      <c r="D35" s="784"/>
      <c r="E35" s="747" t="s">
        <v>357</v>
      </c>
      <c r="F35" s="748"/>
      <c r="G35" s="1212">
        <f>0.048*0</f>
        <v>0</v>
      </c>
      <c r="H35" s="1194"/>
      <c r="I35" s="736"/>
      <c r="J35" s="736"/>
    </row>
    <row r="36" spans="1:12" s="717" customFormat="1" ht="16.5" customHeight="1" x14ac:dyDescent="0.25">
      <c r="A36" s="2058"/>
      <c r="B36" s="1217" t="s">
        <v>332</v>
      </c>
      <c r="C36" s="746"/>
      <c r="D36" s="746"/>
      <c r="E36" s="791" t="s">
        <v>358</v>
      </c>
      <c r="F36" s="748"/>
      <c r="G36" s="1218">
        <f>SUM(G26:G35)</f>
        <v>0.35899999999999999</v>
      </c>
      <c r="H36" s="1209"/>
      <c r="I36" s="776"/>
      <c r="J36" s="776"/>
    </row>
    <row r="37" spans="1:12" s="717" customFormat="1" ht="16.5" customHeight="1" x14ac:dyDescent="0.25">
      <c r="A37" s="2058"/>
      <c r="B37" s="1217" t="s">
        <v>359</v>
      </c>
      <c r="C37" s="746"/>
      <c r="D37" s="746"/>
      <c r="E37" s="745" t="s">
        <v>360</v>
      </c>
      <c r="F37" s="748"/>
      <c r="G37" s="1219">
        <v>223.26</v>
      </c>
      <c r="H37" s="1220"/>
      <c r="I37" s="794"/>
      <c r="J37" s="1221" t="s">
        <v>526</v>
      </c>
    </row>
    <row r="38" spans="1:12" s="717" customFormat="1" ht="18.75" customHeight="1" x14ac:dyDescent="0.25">
      <c r="A38" s="2058"/>
      <c r="B38" s="1222" t="s">
        <v>361</v>
      </c>
      <c r="C38" s="796"/>
      <c r="D38" s="796"/>
      <c r="E38" s="795" t="s">
        <v>362</v>
      </c>
      <c r="F38" s="797"/>
      <c r="G38" s="1223">
        <v>1.1499999999999999</v>
      </c>
      <c r="H38" s="1206"/>
      <c r="I38" s="771"/>
      <c r="J38" s="771"/>
      <c r="K38" s="783"/>
    </row>
    <row r="39" spans="1:12" s="717" customFormat="1" ht="18" customHeight="1" thickBot="1" x14ac:dyDescent="0.3">
      <c r="A39" s="2059"/>
      <c r="B39" s="1224" t="s">
        <v>363</v>
      </c>
      <c r="C39" s="800"/>
      <c r="D39" s="800"/>
      <c r="E39" s="800"/>
      <c r="F39" s="801"/>
      <c r="G39" s="1225"/>
      <c r="H39" s="802">
        <f>ROUND((G14/100)*G23*G36*G37*G38,2)</f>
        <v>309.24</v>
      </c>
      <c r="I39" s="803"/>
      <c r="J39" s="803"/>
      <c r="K39" s="804"/>
      <c r="L39" s="805"/>
    </row>
    <row r="40" spans="1:12" s="717" customFormat="1" ht="16.5" customHeight="1" thickBot="1" x14ac:dyDescent="0.3">
      <c r="A40" s="1226">
        <v>2</v>
      </c>
      <c r="B40" s="1227" t="s">
        <v>527</v>
      </c>
      <c r="C40" s="808"/>
      <c r="D40" s="808"/>
      <c r="E40" s="808"/>
      <c r="F40" s="809"/>
      <c r="G40" s="1228"/>
      <c r="H40" s="1229"/>
      <c r="I40" s="811"/>
      <c r="J40" s="811"/>
      <c r="K40" s="805"/>
      <c r="L40" s="805"/>
    </row>
    <row r="41" spans="1:12" s="812" customFormat="1" ht="18.75" hidden="1" customHeight="1" x14ac:dyDescent="0.2">
      <c r="A41" s="2058"/>
      <c r="B41" s="843" t="s">
        <v>322</v>
      </c>
      <c r="C41" s="839"/>
      <c r="D41" s="839"/>
      <c r="E41" s="843" t="s">
        <v>323</v>
      </c>
      <c r="F41" s="840"/>
      <c r="G41" s="1230">
        <f>G18</f>
        <v>1</v>
      </c>
      <c r="H41" s="1303"/>
      <c r="I41" s="763"/>
      <c r="J41" s="763"/>
    </row>
    <row r="42" spans="1:12" s="812" customFormat="1" ht="18.75" hidden="1" customHeight="1" x14ac:dyDescent="0.2">
      <c r="A42" s="2058"/>
      <c r="B42" s="813" t="s">
        <v>324</v>
      </c>
      <c r="C42" s="814"/>
      <c r="D42" s="814"/>
      <c r="E42" s="813" t="s">
        <v>325</v>
      </c>
      <c r="F42" s="758"/>
      <c r="G42" s="1231">
        <f>G19</f>
        <v>1</v>
      </c>
      <c r="H42" s="1202"/>
      <c r="I42" s="763"/>
      <c r="J42" s="763"/>
    </row>
    <row r="43" spans="1:12" s="812" customFormat="1" ht="18.75" customHeight="1" x14ac:dyDescent="0.2">
      <c r="A43" s="2058"/>
      <c r="B43" s="816" t="s">
        <v>365</v>
      </c>
      <c r="C43" s="817"/>
      <c r="D43" s="817"/>
      <c r="E43" s="816" t="s">
        <v>327</v>
      </c>
      <c r="F43" s="818"/>
      <c r="G43" s="1231">
        <f>G20</f>
        <v>1.1000000000000001</v>
      </c>
      <c r="H43" s="1202"/>
      <c r="I43" s="763"/>
      <c r="J43" s="763"/>
    </row>
    <row r="44" spans="1:12" s="812" customFormat="1" ht="18.75" hidden="1" customHeight="1" x14ac:dyDescent="0.2">
      <c r="A44" s="2058"/>
      <c r="B44" s="813" t="s">
        <v>328</v>
      </c>
      <c r="C44" s="817"/>
      <c r="D44" s="814"/>
      <c r="E44" s="813" t="str">
        <f>E21</f>
        <v>т.2.2,п.5(е)</v>
      </c>
      <c r="F44" s="758"/>
      <c r="G44" s="1231"/>
      <c r="H44" s="1202"/>
      <c r="I44" s="763"/>
      <c r="J44" s="763"/>
    </row>
    <row r="45" spans="1:12" s="823" customFormat="1" ht="16.5" hidden="1" customHeight="1" x14ac:dyDescent="0.25">
      <c r="A45" s="2058"/>
      <c r="B45" s="819" t="s">
        <v>366</v>
      </c>
      <c r="C45" s="820"/>
      <c r="D45" s="820"/>
      <c r="E45" s="821" t="s">
        <v>367</v>
      </c>
      <c r="F45" s="822"/>
      <c r="G45" s="1223"/>
      <c r="H45" s="1206"/>
      <c r="I45" s="771"/>
      <c r="J45" s="771"/>
    </row>
    <row r="46" spans="1:12" s="812" customFormat="1" ht="18.75" customHeight="1" x14ac:dyDescent="0.2">
      <c r="A46" s="2058"/>
      <c r="B46" s="824" t="s">
        <v>332</v>
      </c>
      <c r="C46" s="825"/>
      <c r="D46" s="825"/>
      <c r="E46" s="824" t="s">
        <v>333</v>
      </c>
      <c r="F46" s="826"/>
      <c r="G46" s="1232">
        <f>ROUND(PRODUCT(G41:G44),2)</f>
        <v>1.1000000000000001</v>
      </c>
      <c r="H46" s="1202"/>
      <c r="I46" s="763"/>
      <c r="J46" s="763"/>
    </row>
    <row r="47" spans="1:12" s="762" customFormat="1" ht="18.75" customHeight="1" x14ac:dyDescent="0.2">
      <c r="A47" s="2058"/>
      <c r="B47" s="2060" t="s">
        <v>334</v>
      </c>
      <c r="C47" s="2061"/>
      <c r="D47" s="828"/>
      <c r="E47" s="829" t="s">
        <v>368</v>
      </c>
      <c r="F47" s="830"/>
      <c r="G47" s="1233">
        <f>G24</f>
        <v>1</v>
      </c>
      <c r="H47" s="1304"/>
      <c r="I47" s="832"/>
      <c r="J47" s="832"/>
    </row>
    <row r="48" spans="1:12" s="762" customFormat="1" ht="18.75" customHeight="1" x14ac:dyDescent="0.2">
      <c r="A48" s="2058"/>
      <c r="B48" s="833" t="s">
        <v>336</v>
      </c>
      <c r="C48" s="826"/>
      <c r="D48" s="826"/>
      <c r="E48" s="758"/>
      <c r="F48" s="759"/>
      <c r="G48" s="1200"/>
      <c r="H48" s="1201"/>
      <c r="I48" s="761"/>
      <c r="J48" s="761"/>
    </row>
    <row r="49" spans="1:32" s="762" customFormat="1" ht="18.75" customHeight="1" x14ac:dyDescent="0.2">
      <c r="A49" s="2058"/>
      <c r="B49" s="2062" t="s">
        <v>369</v>
      </c>
      <c r="C49" s="2063"/>
      <c r="D49" s="2063"/>
      <c r="E49" s="757" t="s">
        <v>370</v>
      </c>
      <c r="F49" s="759"/>
      <c r="G49" s="1234">
        <f>0.03</f>
        <v>0.03</v>
      </c>
      <c r="H49" s="1201"/>
      <c r="I49" s="761"/>
      <c r="J49" s="761"/>
    </row>
    <row r="50" spans="1:32" s="762" customFormat="1" ht="18.75" customHeight="1" x14ac:dyDescent="0.2">
      <c r="A50" s="2058"/>
      <c r="B50" s="2062" t="s">
        <v>337</v>
      </c>
      <c r="C50" s="2063"/>
      <c r="D50" s="2063"/>
      <c r="E50" s="757" t="s">
        <v>371</v>
      </c>
      <c r="F50" s="759"/>
      <c r="G50" s="1234">
        <f>0.096</f>
        <v>9.6000000000000002E-2</v>
      </c>
      <c r="H50" s="1305"/>
      <c r="I50" s="835"/>
      <c r="J50" s="835"/>
      <c r="K50" s="836"/>
    </row>
    <row r="51" spans="1:32" s="762" customFormat="1" ht="18.75" customHeight="1" x14ac:dyDescent="0.2">
      <c r="A51" s="2058"/>
      <c r="B51" s="757" t="s">
        <v>372</v>
      </c>
      <c r="C51" s="758"/>
      <c r="D51" s="758"/>
      <c r="E51" s="757" t="s">
        <v>373</v>
      </c>
      <c r="F51" s="759"/>
      <c r="G51" s="1234">
        <f>0.296</f>
        <v>0.29599999999999999</v>
      </c>
      <c r="H51" s="1305"/>
      <c r="I51" s="835"/>
      <c r="J51" s="835"/>
      <c r="K51" s="836"/>
    </row>
    <row r="52" spans="1:32" s="762" customFormat="1" ht="18.75" customHeight="1" x14ac:dyDescent="0.2">
      <c r="A52" s="2058"/>
      <c r="B52" s="757" t="s">
        <v>374</v>
      </c>
      <c r="C52" s="758"/>
      <c r="D52" s="758"/>
      <c r="E52" s="757" t="s">
        <v>375</v>
      </c>
      <c r="F52" s="759"/>
      <c r="G52" s="1234">
        <f>0.346</f>
        <v>0.34599999999999997</v>
      </c>
      <c r="H52" s="1305"/>
      <c r="I52" s="835"/>
      <c r="J52" s="835"/>
      <c r="K52" s="836"/>
    </row>
    <row r="53" spans="1:32" s="762" customFormat="1" ht="18.75" customHeight="1" x14ac:dyDescent="0.2">
      <c r="A53" s="2058"/>
      <c r="B53" s="757" t="s">
        <v>376</v>
      </c>
      <c r="C53" s="758"/>
      <c r="D53" s="758"/>
      <c r="E53" s="757" t="s">
        <v>377</v>
      </c>
      <c r="F53" s="759"/>
      <c r="G53" s="1234">
        <f>0.101*0</f>
        <v>0</v>
      </c>
      <c r="H53" s="1305"/>
      <c r="I53" s="835"/>
      <c r="J53" s="835"/>
    </row>
    <row r="54" spans="1:32" s="717" customFormat="1" ht="15.75" hidden="1" customHeight="1" x14ac:dyDescent="0.25">
      <c r="A54" s="2058"/>
      <c r="B54" s="747" t="s">
        <v>378</v>
      </c>
      <c r="C54" s="769"/>
      <c r="D54" s="769"/>
      <c r="E54" s="747" t="s">
        <v>379</v>
      </c>
      <c r="F54" s="748"/>
      <c r="G54" s="1212">
        <f>0.091*0</f>
        <v>0</v>
      </c>
      <c r="H54" s="1306"/>
      <c r="I54" s="837"/>
      <c r="J54" s="837"/>
    </row>
    <row r="55" spans="1:32" s="717" customFormat="1" ht="16.5" hidden="1" customHeight="1" x14ac:dyDescent="0.25">
      <c r="A55" s="2058"/>
      <c r="B55" s="2064" t="s">
        <v>380</v>
      </c>
      <c r="C55" s="2065"/>
      <c r="D55" s="2066"/>
      <c r="E55" s="747" t="s">
        <v>381</v>
      </c>
      <c r="F55" s="748"/>
      <c r="G55" s="1212">
        <f>0.04*0</f>
        <v>0</v>
      </c>
      <c r="H55" s="1306"/>
      <c r="I55" s="837"/>
      <c r="J55" s="837"/>
    </row>
    <row r="56" spans="1:32" s="762" customFormat="1" ht="18.75" customHeight="1" x14ac:dyDescent="0.2">
      <c r="A56" s="2058"/>
      <c r="B56" s="838" t="s">
        <v>332</v>
      </c>
      <c r="C56" s="839"/>
      <c r="D56" s="839"/>
      <c r="E56" s="838" t="s">
        <v>358</v>
      </c>
      <c r="F56" s="840"/>
      <c r="G56" s="1235">
        <f>SUM(G49:G55)</f>
        <v>0.76800000000000002</v>
      </c>
      <c r="H56" s="1307"/>
      <c r="I56" s="842"/>
      <c r="J56" s="842"/>
    </row>
    <row r="57" spans="1:32" s="762" customFormat="1" ht="18.75" customHeight="1" x14ac:dyDescent="0.25">
      <c r="A57" s="2058"/>
      <c r="B57" s="838" t="s">
        <v>382</v>
      </c>
      <c r="C57" s="839"/>
      <c r="D57" s="839"/>
      <c r="E57" s="843" t="s">
        <v>383</v>
      </c>
      <c r="F57" s="840"/>
      <c r="G57" s="1236">
        <v>38.31</v>
      </c>
      <c r="H57" s="1220"/>
      <c r="I57" s="845"/>
      <c r="J57" s="1221" t="s">
        <v>526</v>
      </c>
    </row>
    <row r="58" spans="1:32" s="762" customFormat="1" ht="18.75" hidden="1" customHeight="1" x14ac:dyDescent="0.2">
      <c r="A58" s="2058"/>
      <c r="B58" s="757" t="s">
        <v>384</v>
      </c>
      <c r="C58" s="758"/>
      <c r="D58" s="758"/>
      <c r="E58" s="757" t="s">
        <v>385</v>
      </c>
      <c r="F58" s="759"/>
      <c r="G58" s="1200"/>
      <c r="H58" s="1202"/>
      <c r="I58" s="763"/>
      <c r="J58" s="763"/>
    </row>
    <row r="59" spans="1:32" s="762" customFormat="1" ht="24.75" customHeight="1" thickBot="1" x14ac:dyDescent="0.25">
      <c r="A59" s="2059"/>
      <c r="B59" s="846" t="s">
        <v>386</v>
      </c>
      <c r="C59" s="847"/>
      <c r="D59" s="847"/>
      <c r="E59" s="847"/>
      <c r="F59" s="848"/>
      <c r="G59" s="1237">
        <f>ROUND((G14/100)*G56*G57*G46,0)</f>
        <v>39</v>
      </c>
      <c r="H59" s="849">
        <f>ROUND((G14/100)*G46*G56*G57,2)</f>
        <v>39.479999999999997</v>
      </c>
      <c r="I59" s="850"/>
      <c r="J59" s="850"/>
      <c r="K59" s="851"/>
    </row>
    <row r="60" spans="1:32" s="709" customFormat="1" ht="39.75" customHeight="1" thickBot="1" x14ac:dyDescent="0.3">
      <c r="A60" s="1226">
        <v>3</v>
      </c>
      <c r="B60" s="2026" t="str">
        <f>CONCATENATE("Итого обследование здания по 1кат работ в базовых ценах по адресу: ",C10)</f>
        <v>Итого обследование здания по 1кат работ в базовых ценах по адресу: г.Москва, Сторожевая ул., д.18 (пристройка)</v>
      </c>
      <c r="C60" s="2027"/>
      <c r="D60" s="2027"/>
      <c r="E60" s="1238"/>
      <c r="F60" s="1239"/>
      <c r="G60" s="1240"/>
      <c r="H60" s="1241">
        <f>H59+H39</f>
        <v>348.72</v>
      </c>
      <c r="S60" s="706"/>
      <c r="T60" s="706"/>
      <c r="U60" s="706"/>
      <c r="V60" s="706"/>
      <c r="W60" s="706"/>
      <c r="X60" s="706"/>
      <c r="Y60" s="706"/>
      <c r="Z60" s="706"/>
      <c r="AA60" s="706"/>
      <c r="AB60" s="706"/>
      <c r="AC60" s="706"/>
      <c r="AD60" s="706"/>
      <c r="AE60" s="706"/>
      <c r="AF60" s="706"/>
    </row>
    <row r="61" spans="1:32" x14ac:dyDescent="0.25">
      <c r="A61" s="2220" t="s">
        <v>528</v>
      </c>
      <c r="B61" s="2222" t="s">
        <v>529</v>
      </c>
      <c r="C61" s="2223"/>
      <c r="D61" s="2224" t="s">
        <v>530</v>
      </c>
      <c r="E61" s="2226">
        <f>H60</f>
        <v>348.72</v>
      </c>
      <c r="F61" s="2229" t="s">
        <v>531</v>
      </c>
      <c r="G61" s="2231">
        <v>0.1</v>
      </c>
      <c r="H61" s="2215">
        <f>ROUND(E61*G61,2)</f>
        <v>34.869999999999997</v>
      </c>
      <c r="I61" s="1242"/>
    </row>
    <row r="62" spans="1:32" x14ac:dyDescent="0.25">
      <c r="A62" s="2221"/>
      <c r="B62" s="1243" t="s">
        <v>532</v>
      </c>
      <c r="C62" s="1244">
        <v>1</v>
      </c>
      <c r="D62" s="2225"/>
      <c r="E62" s="2227"/>
      <c r="F62" s="2230"/>
      <c r="G62" s="2232"/>
      <c r="H62" s="2216"/>
      <c r="I62" s="1242"/>
    </row>
    <row r="63" spans="1:32" x14ac:dyDescent="0.25">
      <c r="A63" s="2221"/>
      <c r="B63" s="1245" t="s">
        <v>533</v>
      </c>
      <c r="C63" s="1246"/>
      <c r="D63" s="2225"/>
      <c r="E63" s="2228"/>
      <c r="F63" s="2230"/>
      <c r="G63" s="2232"/>
      <c r="H63" s="2216"/>
      <c r="I63" s="1242"/>
    </row>
    <row r="64" spans="1:32" x14ac:dyDescent="0.25">
      <c r="A64" s="2199">
        <v>5</v>
      </c>
      <c r="B64" s="2201" t="s">
        <v>534</v>
      </c>
      <c r="C64" s="2202"/>
      <c r="D64" s="2203" t="s">
        <v>535</v>
      </c>
      <c r="E64" s="2217">
        <f>E61</f>
        <v>348.72</v>
      </c>
      <c r="F64" s="2209" t="s">
        <v>531</v>
      </c>
      <c r="G64" s="2218">
        <v>0.05</v>
      </c>
      <c r="H64" s="2194">
        <f>ROUND(E64*G64,2)</f>
        <v>17.440000000000001</v>
      </c>
    </row>
    <row r="65" spans="1:8" x14ac:dyDescent="0.25">
      <c r="A65" s="2200"/>
      <c r="B65" s="1247" t="s">
        <v>536</v>
      </c>
      <c r="C65" s="1248">
        <v>1</v>
      </c>
      <c r="D65" s="2204"/>
      <c r="E65" s="2217"/>
      <c r="F65" s="2210"/>
      <c r="G65" s="2219"/>
      <c r="H65" s="2195"/>
    </row>
    <row r="66" spans="1:8" x14ac:dyDescent="0.25">
      <c r="A66" s="2200"/>
      <c r="B66" s="1247" t="s">
        <v>537</v>
      </c>
      <c r="C66" s="1249"/>
      <c r="D66" s="2204"/>
      <c r="E66" s="2217"/>
      <c r="F66" s="2210"/>
      <c r="G66" s="2219"/>
      <c r="H66" s="2195"/>
    </row>
    <row r="67" spans="1:8" ht="29.25" customHeight="1" x14ac:dyDescent="0.25">
      <c r="A67" s="2199">
        <v>6</v>
      </c>
      <c r="B67" s="2201" t="s">
        <v>538</v>
      </c>
      <c r="C67" s="2202"/>
      <c r="D67" s="2203" t="s">
        <v>539</v>
      </c>
      <c r="E67" s="2206">
        <f>C69</f>
        <v>251.2</v>
      </c>
      <c r="F67" s="2209" t="s">
        <v>531</v>
      </c>
      <c r="G67" s="2212">
        <f>C68</f>
        <v>5</v>
      </c>
      <c r="H67" s="2194">
        <f>ROUND(E67*G67,2)</f>
        <v>1256</v>
      </c>
    </row>
    <row r="68" spans="1:8" x14ac:dyDescent="0.25">
      <c r="A68" s="2200"/>
      <c r="B68" s="1247" t="s">
        <v>540</v>
      </c>
      <c r="C68" s="1248">
        <v>5</v>
      </c>
      <c r="D68" s="2204"/>
      <c r="E68" s="2207"/>
      <c r="F68" s="2210"/>
      <c r="G68" s="2213"/>
      <c r="H68" s="2195"/>
    </row>
    <row r="69" spans="1:8" ht="16.5" thickBot="1" x14ac:dyDescent="0.3">
      <c r="A69" s="1890"/>
      <c r="B69" s="1250" t="s">
        <v>541</v>
      </c>
      <c r="C69" s="1251">
        <v>251.2</v>
      </c>
      <c r="D69" s="2205"/>
      <c r="E69" s="2208"/>
      <c r="F69" s="2211"/>
      <c r="G69" s="2214"/>
      <c r="H69" s="2196"/>
    </row>
    <row r="70" spans="1:8" s="160" customFormat="1" ht="55.5" customHeight="1" thickBot="1" x14ac:dyDescent="0.25">
      <c r="A70" s="1151"/>
      <c r="B70" s="2197" t="str">
        <f>CONCATENATE("Стоимость изысканий в базовых ценах по адресу ",C10)</f>
        <v>Стоимость изысканий в базовых ценах по адресу г.Москва, Сторожевая ул., д.18 (пристройка)</v>
      </c>
      <c r="C70" s="2198"/>
      <c r="D70" s="1252"/>
      <c r="E70" s="1252"/>
      <c r="F70" s="1252"/>
      <c r="G70" s="1253"/>
      <c r="H70" s="1174">
        <f>H61+H64+H67</f>
        <v>1308.31</v>
      </c>
    </row>
    <row r="71" spans="1:8" x14ac:dyDescent="0.25">
      <c r="A71" s="1254"/>
      <c r="B71" s="1256"/>
      <c r="F71" s="1254"/>
      <c r="G71" s="1254"/>
      <c r="H71" s="1254"/>
    </row>
    <row r="72" spans="1:8" x14ac:dyDescent="0.25">
      <c r="A72" s="1254"/>
      <c r="B72" s="1256"/>
      <c r="E72" s="362"/>
      <c r="F72" s="1254"/>
      <c r="G72" s="1254"/>
      <c r="H72" s="1254"/>
    </row>
    <row r="73" spans="1:8" x14ac:dyDescent="0.25">
      <c r="A73" s="1254"/>
      <c r="B73" s="1255"/>
      <c r="F73" s="1254"/>
      <c r="G73" s="1254"/>
      <c r="H73" s="1254"/>
    </row>
    <row r="74" spans="1:8" x14ac:dyDescent="0.25">
      <c r="A74" s="1254"/>
      <c r="B74" s="1256"/>
      <c r="F74" s="1254"/>
      <c r="G74" s="1254"/>
      <c r="H74" s="1254"/>
    </row>
    <row r="75" spans="1:8" x14ac:dyDescent="0.25">
      <c r="A75" s="1254"/>
    </row>
    <row r="76" spans="1:8" x14ac:dyDescent="0.25">
      <c r="A76" s="1254"/>
      <c r="B76" s="1256"/>
    </row>
    <row r="77" spans="1:8" x14ac:dyDescent="0.25">
      <c r="B77" s="1256"/>
    </row>
    <row r="78" spans="1:8" x14ac:dyDescent="0.25">
      <c r="B78" s="1256"/>
    </row>
    <row r="79" spans="1:8" x14ac:dyDescent="0.25">
      <c r="B79" s="1255"/>
    </row>
    <row r="80" spans="1:8" x14ac:dyDescent="0.25">
      <c r="B80" s="1256"/>
    </row>
  </sheetData>
  <mergeCells count="47">
    <mergeCell ref="A7:A8"/>
    <mergeCell ref="B7:C8"/>
    <mergeCell ref="D7:D8"/>
    <mergeCell ref="H7:H8"/>
    <mergeCell ref="F8:G8"/>
    <mergeCell ref="A2:H2"/>
    <mergeCell ref="A3:H3"/>
    <mergeCell ref="A4:H4"/>
    <mergeCell ref="A5:H5"/>
    <mergeCell ref="A6:H6"/>
    <mergeCell ref="B60:D60"/>
    <mergeCell ref="B9:C9"/>
    <mergeCell ref="F9:G9"/>
    <mergeCell ref="C10:E10"/>
    <mergeCell ref="A12:A39"/>
    <mergeCell ref="B20:D20"/>
    <mergeCell ref="B26:D26"/>
    <mergeCell ref="B27:D27"/>
    <mergeCell ref="B28:D28"/>
    <mergeCell ref="B29:D29"/>
    <mergeCell ref="A41:A59"/>
    <mergeCell ref="B47:C47"/>
    <mergeCell ref="B49:D49"/>
    <mergeCell ref="B50:D50"/>
    <mergeCell ref="B55:D55"/>
    <mergeCell ref="H61:H63"/>
    <mergeCell ref="A64:A66"/>
    <mergeCell ref="B64:C64"/>
    <mergeCell ref="D64:D66"/>
    <mergeCell ref="E64:E66"/>
    <mergeCell ref="F64:F66"/>
    <mergeCell ref="G64:G66"/>
    <mergeCell ref="H64:H66"/>
    <mergeCell ref="A61:A63"/>
    <mergeCell ref="B61:C61"/>
    <mergeCell ref="D61:D63"/>
    <mergeCell ref="E61:E63"/>
    <mergeCell ref="F61:F63"/>
    <mergeCell ref="G61:G63"/>
    <mergeCell ref="H67:H69"/>
    <mergeCell ref="B70:C70"/>
    <mergeCell ref="A67:A69"/>
    <mergeCell ref="B67:C67"/>
    <mergeCell ref="D67:D69"/>
    <mergeCell ref="E67:E69"/>
    <mergeCell ref="F67:F69"/>
    <mergeCell ref="G67:G6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7" fitToHeight="21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view="pageBreakPreview" zoomScaleNormal="150" zoomScaleSheetLayoutView="100" workbookViewId="0">
      <selection activeCell="G16" sqref="G16"/>
    </sheetView>
  </sheetViews>
  <sheetFormatPr defaultColWidth="9.140625" defaultRowHeight="12.75" x14ac:dyDescent="0.2"/>
  <cols>
    <col min="1" max="1" width="4.85546875" style="46" customWidth="1"/>
    <col min="2" max="2" width="37" style="46" customWidth="1"/>
    <col min="3" max="3" width="20.28515625" style="46" customWidth="1"/>
    <col min="4" max="4" width="11" style="47" customWidth="1"/>
    <col min="5" max="5" width="11" style="46" customWidth="1"/>
    <col min="6" max="6" width="11" style="48" customWidth="1"/>
    <col min="7" max="7" width="14.140625" style="46" customWidth="1"/>
    <col min="8" max="8" width="9.5703125" style="41" bestFit="1" customWidth="1"/>
    <col min="9" max="9" width="9.28515625" style="41" bestFit="1" customWidth="1"/>
    <col min="10" max="16384" width="9.140625" style="41"/>
  </cols>
  <sheetData>
    <row r="1" spans="1:8" ht="46.5" customHeight="1" x14ac:dyDescent="0.2"/>
    <row r="2" spans="1:8" ht="14.25" x14ac:dyDescent="0.2">
      <c r="A2" s="2258" t="s">
        <v>558</v>
      </c>
      <c r="B2" s="2258"/>
      <c r="C2" s="2258"/>
      <c r="D2" s="2258"/>
      <c r="E2" s="2258"/>
      <c r="F2" s="2258"/>
      <c r="G2" s="2258"/>
      <c r="H2" s="39"/>
    </row>
    <row r="3" spans="1:8" ht="14.25" x14ac:dyDescent="0.2">
      <c r="A3" s="51"/>
      <c r="B3" s="51"/>
      <c r="C3" s="51"/>
      <c r="D3" s="51"/>
      <c r="E3" s="51"/>
      <c r="F3" s="51"/>
      <c r="G3" s="51"/>
      <c r="H3" s="39"/>
    </row>
    <row r="4" spans="1:8" ht="20.25" customHeight="1" x14ac:dyDescent="0.2">
      <c r="A4" s="2259" t="str">
        <f>' ССР (нов)'!A6:G6</f>
        <v xml:space="preserve">Реконструкция теплового ввода </v>
      </c>
      <c r="B4" s="2260"/>
      <c r="C4" s="2260"/>
      <c r="D4" s="2260"/>
      <c r="E4" s="2260"/>
      <c r="F4" s="2260"/>
      <c r="G4" s="2260"/>
      <c r="H4" s="42"/>
    </row>
    <row r="5" spans="1:8" ht="20.25" customHeight="1" x14ac:dyDescent="0.2">
      <c r="A5" s="2264" t="str">
        <f>' ССР (нов)'!A7:G7</f>
        <v>г. Москва , ул. Мневники д.4</v>
      </c>
      <c r="B5" s="2263"/>
      <c r="C5" s="2263"/>
      <c r="D5" s="2263"/>
      <c r="E5" s="2263"/>
      <c r="F5" s="2263"/>
      <c r="G5" s="2263"/>
    </row>
    <row r="6" spans="1:8" ht="20.25" customHeight="1" x14ac:dyDescent="0.2">
      <c r="A6" s="2263" t="s">
        <v>73</v>
      </c>
      <c r="B6" s="2263"/>
      <c r="C6" s="2263"/>
      <c r="D6" s="2263"/>
      <c r="E6" s="2263"/>
      <c r="F6" s="2263"/>
      <c r="G6" s="2263"/>
    </row>
    <row r="7" spans="1:8" ht="33.75" customHeight="1" x14ac:dyDescent="0.2">
      <c r="A7" s="2261" t="s">
        <v>69</v>
      </c>
      <c r="B7" s="2261"/>
      <c r="C7" s="2261"/>
      <c r="D7" s="2261"/>
      <c r="E7" s="2261"/>
      <c r="F7" s="2261"/>
      <c r="G7" s="2261"/>
    </row>
    <row r="8" spans="1:8" ht="10.5" customHeight="1" x14ac:dyDescent="0.2">
      <c r="A8" s="52"/>
      <c r="B8" s="52"/>
      <c r="C8" s="52"/>
      <c r="D8" s="52"/>
      <c r="E8" s="52"/>
      <c r="F8" s="52"/>
      <c r="G8" s="52"/>
    </row>
    <row r="9" spans="1:8" ht="76.5" x14ac:dyDescent="0.2">
      <c r="A9" s="43" t="s">
        <v>19</v>
      </c>
      <c r="B9" s="68" t="s">
        <v>20</v>
      </c>
      <c r="C9" s="68" t="s">
        <v>71</v>
      </c>
      <c r="D9" s="44" t="s">
        <v>70</v>
      </c>
      <c r="E9" s="68" t="s">
        <v>21</v>
      </c>
      <c r="F9" s="68" t="s">
        <v>22</v>
      </c>
      <c r="G9" s="68" t="s">
        <v>23</v>
      </c>
    </row>
    <row r="10" spans="1:8" ht="15.75" x14ac:dyDescent="0.2">
      <c r="A10" s="2262" t="s">
        <v>306</v>
      </c>
      <c r="B10" s="2262"/>
      <c r="C10" s="2262"/>
      <c r="D10" s="2262"/>
      <c r="E10" s="2262"/>
      <c r="F10" s="2262"/>
      <c r="G10" s="2262"/>
    </row>
    <row r="11" spans="1:8" ht="15.75" x14ac:dyDescent="0.2">
      <c r="A11" s="241"/>
      <c r="B11" s="239" t="s">
        <v>24</v>
      </c>
      <c r="C11" s="241"/>
      <c r="D11" s="242"/>
      <c r="E11" s="241" t="s">
        <v>25</v>
      </c>
      <c r="F11" s="243">
        <f>Т.с.!C17</f>
        <v>17.8</v>
      </c>
      <c r="G11" s="241"/>
      <c r="H11" s="42"/>
    </row>
    <row r="12" spans="1:8" ht="45" x14ac:dyDescent="0.2">
      <c r="A12" s="241"/>
      <c r="B12" s="240" t="s">
        <v>26</v>
      </c>
      <c r="C12" s="241"/>
      <c r="D12" s="242"/>
      <c r="E12" s="241"/>
      <c r="F12" s="244"/>
      <c r="G12" s="241"/>
    </row>
    <row r="13" spans="1:8" ht="15.75" x14ac:dyDescent="0.2">
      <c r="A13" s="241"/>
      <c r="B13" s="239" t="s">
        <v>27</v>
      </c>
      <c r="C13" s="241" t="s">
        <v>28</v>
      </c>
      <c r="D13" s="242">
        <v>296</v>
      </c>
      <c r="E13" s="241"/>
      <c r="F13" s="245">
        <f>F11</f>
        <v>17.8</v>
      </c>
      <c r="G13" s="246">
        <f>D13*F13</f>
        <v>5268.8</v>
      </c>
    </row>
    <row r="14" spans="1:8" ht="45" x14ac:dyDescent="0.2">
      <c r="A14" s="241"/>
      <c r="B14" s="240" t="s">
        <v>29</v>
      </c>
      <c r="C14" s="241" t="s">
        <v>30</v>
      </c>
      <c r="D14" s="242">
        <v>1.1499999999999999</v>
      </c>
      <c r="E14" s="241"/>
      <c r="F14" s="244"/>
      <c r="G14" s="247">
        <f>G13*D14</f>
        <v>6059.12</v>
      </c>
      <c r="H14" s="42"/>
    </row>
    <row r="15" spans="1:8" ht="15.75" x14ac:dyDescent="0.2">
      <c r="A15" s="241"/>
      <c r="B15" s="252" t="s">
        <v>307</v>
      </c>
      <c r="C15" s="241"/>
      <c r="D15" s="242"/>
      <c r="E15" s="241"/>
      <c r="F15" s="244"/>
      <c r="G15" s="249">
        <f>G14</f>
        <v>6059.12</v>
      </c>
    </row>
    <row r="16" spans="1:8" ht="15.75" x14ac:dyDescent="0.2">
      <c r="A16" s="241"/>
      <c r="B16" s="248"/>
      <c r="C16" s="250"/>
      <c r="D16" s="251"/>
      <c r="E16" s="241"/>
      <c r="F16" s="244"/>
      <c r="G16" s="249"/>
    </row>
    <row r="17" spans="1:11" ht="15.75" x14ac:dyDescent="0.2">
      <c r="A17" s="241"/>
      <c r="B17" s="248" t="s">
        <v>634</v>
      </c>
      <c r="C17" s="241"/>
      <c r="D17" s="242"/>
      <c r="E17" s="241"/>
      <c r="F17" s="244"/>
      <c r="G17" s="249">
        <f>G15</f>
        <v>6059.12</v>
      </c>
      <c r="H17" s="57"/>
    </row>
    <row r="18" spans="1:11" s="54" customFormat="1" x14ac:dyDescent="0.2">
      <c r="B18" s="45"/>
      <c r="F18" s="40"/>
      <c r="G18" s="55"/>
      <c r="H18" s="37"/>
      <c r="J18" s="38"/>
      <c r="K18" s="38"/>
    </row>
    <row r="19" spans="1:11" s="30" customFormat="1" x14ac:dyDescent="0.2">
      <c r="D19" s="31"/>
      <c r="F19" s="32"/>
      <c r="H19" s="34"/>
      <c r="I19" s="33"/>
    </row>
    <row r="20" spans="1:11" s="30" customFormat="1" x14ac:dyDescent="0.2">
      <c r="D20" s="31"/>
      <c r="F20" s="32"/>
      <c r="H20" s="34"/>
      <c r="I20" s="33"/>
    </row>
  </sheetData>
  <mergeCells count="6">
    <mergeCell ref="A2:G2"/>
    <mergeCell ref="A4:G4"/>
    <mergeCell ref="A7:G7"/>
    <mergeCell ref="A10:G10"/>
    <mergeCell ref="A6:G6"/>
    <mergeCell ref="A5:G5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4" fitToHeight="21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4"/>
  <sheetViews>
    <sheetView view="pageBreakPreview" zoomScale="80" zoomScaleNormal="150" zoomScaleSheetLayoutView="80" workbookViewId="0">
      <selection activeCell="F14" sqref="F14"/>
    </sheetView>
  </sheetViews>
  <sheetFormatPr defaultRowHeight="12.75" outlineLevelRow="1" x14ac:dyDescent="0.2"/>
  <cols>
    <col min="1" max="1" width="4.85546875" style="1630" customWidth="1"/>
    <col min="2" max="2" width="38.42578125" style="1630" customWidth="1"/>
    <col min="3" max="3" width="22.7109375" style="1630" customWidth="1"/>
    <col min="4" max="4" width="11" style="1631" customWidth="1"/>
    <col min="5" max="5" width="11" style="1630" customWidth="1"/>
    <col min="6" max="6" width="11" style="1632" customWidth="1"/>
    <col min="7" max="7" width="15.7109375" style="1630" customWidth="1"/>
    <col min="8" max="8" width="9.5703125" style="1641" bestFit="1" customWidth="1"/>
    <col min="9" max="9" width="9.28515625" style="1641" bestFit="1" customWidth="1"/>
    <col min="10" max="256" width="9.140625" style="1641"/>
    <col min="257" max="257" width="4.85546875" style="1641" customWidth="1"/>
    <col min="258" max="258" width="38.42578125" style="1641" customWidth="1"/>
    <col min="259" max="259" width="22.7109375" style="1641" customWidth="1"/>
    <col min="260" max="262" width="11" style="1641" customWidth="1"/>
    <col min="263" max="263" width="15.7109375" style="1641" customWidth="1"/>
    <col min="264" max="264" width="9.5703125" style="1641" bestFit="1" customWidth="1"/>
    <col min="265" max="265" width="9.28515625" style="1641" bestFit="1" customWidth="1"/>
    <col min="266" max="512" width="9.140625" style="1641"/>
    <col min="513" max="513" width="4.85546875" style="1641" customWidth="1"/>
    <col min="514" max="514" width="38.42578125" style="1641" customWidth="1"/>
    <col min="515" max="515" width="22.7109375" style="1641" customWidth="1"/>
    <col min="516" max="518" width="11" style="1641" customWidth="1"/>
    <col min="519" max="519" width="15.7109375" style="1641" customWidth="1"/>
    <col min="520" max="520" width="9.5703125" style="1641" bestFit="1" customWidth="1"/>
    <col min="521" max="521" width="9.28515625" style="1641" bestFit="1" customWidth="1"/>
    <col min="522" max="768" width="9.140625" style="1641"/>
    <col min="769" max="769" width="4.85546875" style="1641" customWidth="1"/>
    <col min="770" max="770" width="38.42578125" style="1641" customWidth="1"/>
    <col min="771" max="771" width="22.7109375" style="1641" customWidth="1"/>
    <col min="772" max="774" width="11" style="1641" customWidth="1"/>
    <col min="775" max="775" width="15.7109375" style="1641" customWidth="1"/>
    <col min="776" max="776" width="9.5703125" style="1641" bestFit="1" customWidth="1"/>
    <col min="777" max="777" width="9.28515625" style="1641" bestFit="1" customWidth="1"/>
    <col min="778" max="1024" width="9.140625" style="1641"/>
    <col min="1025" max="1025" width="4.85546875" style="1641" customWidth="1"/>
    <col min="1026" max="1026" width="38.42578125" style="1641" customWidth="1"/>
    <col min="1027" max="1027" width="22.7109375" style="1641" customWidth="1"/>
    <col min="1028" max="1030" width="11" style="1641" customWidth="1"/>
    <col min="1031" max="1031" width="15.7109375" style="1641" customWidth="1"/>
    <col min="1032" max="1032" width="9.5703125" style="1641" bestFit="1" customWidth="1"/>
    <col min="1033" max="1033" width="9.28515625" style="1641" bestFit="1" customWidth="1"/>
    <col min="1034" max="1280" width="9.140625" style="1641"/>
    <col min="1281" max="1281" width="4.85546875" style="1641" customWidth="1"/>
    <col min="1282" max="1282" width="38.42578125" style="1641" customWidth="1"/>
    <col min="1283" max="1283" width="22.7109375" style="1641" customWidth="1"/>
    <col min="1284" max="1286" width="11" style="1641" customWidth="1"/>
    <col min="1287" max="1287" width="15.7109375" style="1641" customWidth="1"/>
    <col min="1288" max="1288" width="9.5703125" style="1641" bestFit="1" customWidth="1"/>
    <col min="1289" max="1289" width="9.28515625" style="1641" bestFit="1" customWidth="1"/>
    <col min="1290" max="1536" width="9.140625" style="1641"/>
    <col min="1537" max="1537" width="4.85546875" style="1641" customWidth="1"/>
    <col min="1538" max="1538" width="38.42578125" style="1641" customWidth="1"/>
    <col min="1539" max="1539" width="22.7109375" style="1641" customWidth="1"/>
    <col min="1540" max="1542" width="11" style="1641" customWidth="1"/>
    <col min="1543" max="1543" width="15.7109375" style="1641" customWidth="1"/>
    <col min="1544" max="1544" width="9.5703125" style="1641" bestFit="1" customWidth="1"/>
    <col min="1545" max="1545" width="9.28515625" style="1641" bestFit="1" customWidth="1"/>
    <col min="1546" max="1792" width="9.140625" style="1641"/>
    <col min="1793" max="1793" width="4.85546875" style="1641" customWidth="1"/>
    <col min="1794" max="1794" width="38.42578125" style="1641" customWidth="1"/>
    <col min="1795" max="1795" width="22.7109375" style="1641" customWidth="1"/>
    <col min="1796" max="1798" width="11" style="1641" customWidth="1"/>
    <col min="1799" max="1799" width="15.7109375" style="1641" customWidth="1"/>
    <col min="1800" max="1800" width="9.5703125" style="1641" bestFit="1" customWidth="1"/>
    <col min="1801" max="1801" width="9.28515625" style="1641" bestFit="1" customWidth="1"/>
    <col min="1802" max="2048" width="9.140625" style="1641"/>
    <col min="2049" max="2049" width="4.85546875" style="1641" customWidth="1"/>
    <col min="2050" max="2050" width="38.42578125" style="1641" customWidth="1"/>
    <col min="2051" max="2051" width="22.7109375" style="1641" customWidth="1"/>
    <col min="2052" max="2054" width="11" style="1641" customWidth="1"/>
    <col min="2055" max="2055" width="15.7109375" style="1641" customWidth="1"/>
    <col min="2056" max="2056" width="9.5703125" style="1641" bestFit="1" customWidth="1"/>
    <col min="2057" max="2057" width="9.28515625" style="1641" bestFit="1" customWidth="1"/>
    <col min="2058" max="2304" width="9.140625" style="1641"/>
    <col min="2305" max="2305" width="4.85546875" style="1641" customWidth="1"/>
    <col min="2306" max="2306" width="38.42578125" style="1641" customWidth="1"/>
    <col min="2307" max="2307" width="22.7109375" style="1641" customWidth="1"/>
    <col min="2308" max="2310" width="11" style="1641" customWidth="1"/>
    <col min="2311" max="2311" width="15.7109375" style="1641" customWidth="1"/>
    <col min="2312" max="2312" width="9.5703125" style="1641" bestFit="1" customWidth="1"/>
    <col min="2313" max="2313" width="9.28515625" style="1641" bestFit="1" customWidth="1"/>
    <col min="2314" max="2560" width="9.140625" style="1641"/>
    <col min="2561" max="2561" width="4.85546875" style="1641" customWidth="1"/>
    <col min="2562" max="2562" width="38.42578125" style="1641" customWidth="1"/>
    <col min="2563" max="2563" width="22.7109375" style="1641" customWidth="1"/>
    <col min="2564" max="2566" width="11" style="1641" customWidth="1"/>
    <col min="2567" max="2567" width="15.7109375" style="1641" customWidth="1"/>
    <col min="2568" max="2568" width="9.5703125" style="1641" bestFit="1" customWidth="1"/>
    <col min="2569" max="2569" width="9.28515625" style="1641" bestFit="1" customWidth="1"/>
    <col min="2570" max="2816" width="9.140625" style="1641"/>
    <col min="2817" max="2817" width="4.85546875" style="1641" customWidth="1"/>
    <col min="2818" max="2818" width="38.42578125" style="1641" customWidth="1"/>
    <col min="2819" max="2819" width="22.7109375" style="1641" customWidth="1"/>
    <col min="2820" max="2822" width="11" style="1641" customWidth="1"/>
    <col min="2823" max="2823" width="15.7109375" style="1641" customWidth="1"/>
    <col min="2824" max="2824" width="9.5703125" style="1641" bestFit="1" customWidth="1"/>
    <col min="2825" max="2825" width="9.28515625" style="1641" bestFit="1" customWidth="1"/>
    <col min="2826" max="3072" width="9.140625" style="1641"/>
    <col min="3073" max="3073" width="4.85546875" style="1641" customWidth="1"/>
    <col min="3074" max="3074" width="38.42578125" style="1641" customWidth="1"/>
    <col min="3075" max="3075" width="22.7109375" style="1641" customWidth="1"/>
    <col min="3076" max="3078" width="11" style="1641" customWidth="1"/>
    <col min="3079" max="3079" width="15.7109375" style="1641" customWidth="1"/>
    <col min="3080" max="3080" width="9.5703125" style="1641" bestFit="1" customWidth="1"/>
    <col min="3081" max="3081" width="9.28515625" style="1641" bestFit="1" customWidth="1"/>
    <col min="3082" max="3328" width="9.140625" style="1641"/>
    <col min="3329" max="3329" width="4.85546875" style="1641" customWidth="1"/>
    <col min="3330" max="3330" width="38.42578125" style="1641" customWidth="1"/>
    <col min="3331" max="3331" width="22.7109375" style="1641" customWidth="1"/>
    <col min="3332" max="3334" width="11" style="1641" customWidth="1"/>
    <col min="3335" max="3335" width="15.7109375" style="1641" customWidth="1"/>
    <col min="3336" max="3336" width="9.5703125" style="1641" bestFit="1" customWidth="1"/>
    <col min="3337" max="3337" width="9.28515625" style="1641" bestFit="1" customWidth="1"/>
    <col min="3338" max="3584" width="9.140625" style="1641"/>
    <col min="3585" max="3585" width="4.85546875" style="1641" customWidth="1"/>
    <col min="3586" max="3586" width="38.42578125" style="1641" customWidth="1"/>
    <col min="3587" max="3587" width="22.7109375" style="1641" customWidth="1"/>
    <col min="3588" max="3590" width="11" style="1641" customWidth="1"/>
    <col min="3591" max="3591" width="15.7109375" style="1641" customWidth="1"/>
    <col min="3592" max="3592" width="9.5703125" style="1641" bestFit="1" customWidth="1"/>
    <col min="3593" max="3593" width="9.28515625" style="1641" bestFit="1" customWidth="1"/>
    <col min="3594" max="3840" width="9.140625" style="1641"/>
    <col min="3841" max="3841" width="4.85546875" style="1641" customWidth="1"/>
    <col min="3842" max="3842" width="38.42578125" style="1641" customWidth="1"/>
    <col min="3843" max="3843" width="22.7109375" style="1641" customWidth="1"/>
    <col min="3844" max="3846" width="11" style="1641" customWidth="1"/>
    <col min="3847" max="3847" width="15.7109375" style="1641" customWidth="1"/>
    <col min="3848" max="3848" width="9.5703125" style="1641" bestFit="1" customWidth="1"/>
    <col min="3849" max="3849" width="9.28515625" style="1641" bestFit="1" customWidth="1"/>
    <col min="3850" max="4096" width="9.140625" style="1641"/>
    <col min="4097" max="4097" width="4.85546875" style="1641" customWidth="1"/>
    <col min="4098" max="4098" width="38.42578125" style="1641" customWidth="1"/>
    <col min="4099" max="4099" width="22.7109375" style="1641" customWidth="1"/>
    <col min="4100" max="4102" width="11" style="1641" customWidth="1"/>
    <col min="4103" max="4103" width="15.7109375" style="1641" customWidth="1"/>
    <col min="4104" max="4104" width="9.5703125" style="1641" bestFit="1" customWidth="1"/>
    <col min="4105" max="4105" width="9.28515625" style="1641" bestFit="1" customWidth="1"/>
    <col min="4106" max="4352" width="9.140625" style="1641"/>
    <col min="4353" max="4353" width="4.85546875" style="1641" customWidth="1"/>
    <col min="4354" max="4354" width="38.42578125" style="1641" customWidth="1"/>
    <col min="4355" max="4355" width="22.7109375" style="1641" customWidth="1"/>
    <col min="4356" max="4358" width="11" style="1641" customWidth="1"/>
    <col min="4359" max="4359" width="15.7109375" style="1641" customWidth="1"/>
    <col min="4360" max="4360" width="9.5703125" style="1641" bestFit="1" customWidth="1"/>
    <col min="4361" max="4361" width="9.28515625" style="1641" bestFit="1" customWidth="1"/>
    <col min="4362" max="4608" width="9.140625" style="1641"/>
    <col min="4609" max="4609" width="4.85546875" style="1641" customWidth="1"/>
    <col min="4610" max="4610" width="38.42578125" style="1641" customWidth="1"/>
    <col min="4611" max="4611" width="22.7109375" style="1641" customWidth="1"/>
    <col min="4612" max="4614" width="11" style="1641" customWidth="1"/>
    <col min="4615" max="4615" width="15.7109375" style="1641" customWidth="1"/>
    <col min="4616" max="4616" width="9.5703125" style="1641" bestFit="1" customWidth="1"/>
    <col min="4617" max="4617" width="9.28515625" style="1641" bestFit="1" customWidth="1"/>
    <col min="4618" max="4864" width="9.140625" style="1641"/>
    <col min="4865" max="4865" width="4.85546875" style="1641" customWidth="1"/>
    <col min="4866" max="4866" width="38.42578125" style="1641" customWidth="1"/>
    <col min="4867" max="4867" width="22.7109375" style="1641" customWidth="1"/>
    <col min="4868" max="4870" width="11" style="1641" customWidth="1"/>
    <col min="4871" max="4871" width="15.7109375" style="1641" customWidth="1"/>
    <col min="4872" max="4872" width="9.5703125" style="1641" bestFit="1" customWidth="1"/>
    <col min="4873" max="4873" width="9.28515625" style="1641" bestFit="1" customWidth="1"/>
    <col min="4874" max="5120" width="9.140625" style="1641"/>
    <col min="5121" max="5121" width="4.85546875" style="1641" customWidth="1"/>
    <col min="5122" max="5122" width="38.42578125" style="1641" customWidth="1"/>
    <col min="5123" max="5123" width="22.7109375" style="1641" customWidth="1"/>
    <col min="5124" max="5126" width="11" style="1641" customWidth="1"/>
    <col min="5127" max="5127" width="15.7109375" style="1641" customWidth="1"/>
    <col min="5128" max="5128" width="9.5703125" style="1641" bestFit="1" customWidth="1"/>
    <col min="5129" max="5129" width="9.28515625" style="1641" bestFit="1" customWidth="1"/>
    <col min="5130" max="5376" width="9.140625" style="1641"/>
    <col min="5377" max="5377" width="4.85546875" style="1641" customWidth="1"/>
    <col min="5378" max="5378" width="38.42578125" style="1641" customWidth="1"/>
    <col min="5379" max="5379" width="22.7109375" style="1641" customWidth="1"/>
    <col min="5380" max="5382" width="11" style="1641" customWidth="1"/>
    <col min="5383" max="5383" width="15.7109375" style="1641" customWidth="1"/>
    <col min="5384" max="5384" width="9.5703125" style="1641" bestFit="1" customWidth="1"/>
    <col min="5385" max="5385" width="9.28515625" style="1641" bestFit="1" customWidth="1"/>
    <col min="5386" max="5632" width="9.140625" style="1641"/>
    <col min="5633" max="5633" width="4.85546875" style="1641" customWidth="1"/>
    <col min="5634" max="5634" width="38.42578125" style="1641" customWidth="1"/>
    <col min="5635" max="5635" width="22.7109375" style="1641" customWidth="1"/>
    <col min="5636" max="5638" width="11" style="1641" customWidth="1"/>
    <col min="5639" max="5639" width="15.7109375" style="1641" customWidth="1"/>
    <col min="5640" max="5640" width="9.5703125" style="1641" bestFit="1" customWidth="1"/>
    <col min="5641" max="5641" width="9.28515625" style="1641" bestFit="1" customWidth="1"/>
    <col min="5642" max="5888" width="9.140625" style="1641"/>
    <col min="5889" max="5889" width="4.85546875" style="1641" customWidth="1"/>
    <col min="5890" max="5890" width="38.42578125" style="1641" customWidth="1"/>
    <col min="5891" max="5891" width="22.7109375" style="1641" customWidth="1"/>
    <col min="5892" max="5894" width="11" style="1641" customWidth="1"/>
    <col min="5895" max="5895" width="15.7109375" style="1641" customWidth="1"/>
    <col min="5896" max="5896" width="9.5703125" style="1641" bestFit="1" customWidth="1"/>
    <col min="5897" max="5897" width="9.28515625" style="1641" bestFit="1" customWidth="1"/>
    <col min="5898" max="6144" width="9.140625" style="1641"/>
    <col min="6145" max="6145" width="4.85546875" style="1641" customWidth="1"/>
    <col min="6146" max="6146" width="38.42578125" style="1641" customWidth="1"/>
    <col min="6147" max="6147" width="22.7109375" style="1641" customWidth="1"/>
    <col min="6148" max="6150" width="11" style="1641" customWidth="1"/>
    <col min="6151" max="6151" width="15.7109375" style="1641" customWidth="1"/>
    <col min="6152" max="6152" width="9.5703125" style="1641" bestFit="1" customWidth="1"/>
    <col min="6153" max="6153" width="9.28515625" style="1641" bestFit="1" customWidth="1"/>
    <col min="6154" max="6400" width="9.140625" style="1641"/>
    <col min="6401" max="6401" width="4.85546875" style="1641" customWidth="1"/>
    <col min="6402" max="6402" width="38.42578125" style="1641" customWidth="1"/>
    <col min="6403" max="6403" width="22.7109375" style="1641" customWidth="1"/>
    <col min="6404" max="6406" width="11" style="1641" customWidth="1"/>
    <col min="6407" max="6407" width="15.7109375" style="1641" customWidth="1"/>
    <col min="6408" max="6408" width="9.5703125" style="1641" bestFit="1" customWidth="1"/>
    <col min="6409" max="6409" width="9.28515625" style="1641" bestFit="1" customWidth="1"/>
    <col min="6410" max="6656" width="9.140625" style="1641"/>
    <col min="6657" max="6657" width="4.85546875" style="1641" customWidth="1"/>
    <col min="6658" max="6658" width="38.42578125" style="1641" customWidth="1"/>
    <col min="6659" max="6659" width="22.7109375" style="1641" customWidth="1"/>
    <col min="6660" max="6662" width="11" style="1641" customWidth="1"/>
    <col min="6663" max="6663" width="15.7109375" style="1641" customWidth="1"/>
    <col min="6664" max="6664" width="9.5703125" style="1641" bestFit="1" customWidth="1"/>
    <col min="6665" max="6665" width="9.28515625" style="1641" bestFit="1" customWidth="1"/>
    <col min="6666" max="6912" width="9.140625" style="1641"/>
    <col min="6913" max="6913" width="4.85546875" style="1641" customWidth="1"/>
    <col min="6914" max="6914" width="38.42578125" style="1641" customWidth="1"/>
    <col min="6915" max="6915" width="22.7109375" style="1641" customWidth="1"/>
    <col min="6916" max="6918" width="11" style="1641" customWidth="1"/>
    <col min="6919" max="6919" width="15.7109375" style="1641" customWidth="1"/>
    <col min="6920" max="6920" width="9.5703125" style="1641" bestFit="1" customWidth="1"/>
    <col min="6921" max="6921" width="9.28515625" style="1641" bestFit="1" customWidth="1"/>
    <col min="6922" max="7168" width="9.140625" style="1641"/>
    <col min="7169" max="7169" width="4.85546875" style="1641" customWidth="1"/>
    <col min="7170" max="7170" width="38.42578125" style="1641" customWidth="1"/>
    <col min="7171" max="7171" width="22.7109375" style="1641" customWidth="1"/>
    <col min="7172" max="7174" width="11" style="1641" customWidth="1"/>
    <col min="7175" max="7175" width="15.7109375" style="1641" customWidth="1"/>
    <col min="7176" max="7176" width="9.5703125" style="1641" bestFit="1" customWidth="1"/>
    <col min="7177" max="7177" width="9.28515625" style="1641" bestFit="1" customWidth="1"/>
    <col min="7178" max="7424" width="9.140625" style="1641"/>
    <col min="7425" max="7425" width="4.85546875" style="1641" customWidth="1"/>
    <col min="7426" max="7426" width="38.42578125" style="1641" customWidth="1"/>
    <col min="7427" max="7427" width="22.7109375" style="1641" customWidth="1"/>
    <col min="7428" max="7430" width="11" style="1641" customWidth="1"/>
    <col min="7431" max="7431" width="15.7109375" style="1641" customWidth="1"/>
    <col min="7432" max="7432" width="9.5703125" style="1641" bestFit="1" customWidth="1"/>
    <col min="7433" max="7433" width="9.28515625" style="1641" bestFit="1" customWidth="1"/>
    <col min="7434" max="7680" width="9.140625" style="1641"/>
    <col min="7681" max="7681" width="4.85546875" style="1641" customWidth="1"/>
    <col min="7682" max="7682" width="38.42578125" style="1641" customWidth="1"/>
    <col min="7683" max="7683" width="22.7109375" style="1641" customWidth="1"/>
    <col min="7684" max="7686" width="11" style="1641" customWidth="1"/>
    <col min="7687" max="7687" width="15.7109375" style="1641" customWidth="1"/>
    <col min="7688" max="7688" width="9.5703125" style="1641" bestFit="1" customWidth="1"/>
    <col min="7689" max="7689" width="9.28515625" style="1641" bestFit="1" customWidth="1"/>
    <col min="7690" max="7936" width="9.140625" style="1641"/>
    <col min="7937" max="7937" width="4.85546875" style="1641" customWidth="1"/>
    <col min="7938" max="7938" width="38.42578125" style="1641" customWidth="1"/>
    <col min="7939" max="7939" width="22.7109375" style="1641" customWidth="1"/>
    <col min="7940" max="7942" width="11" style="1641" customWidth="1"/>
    <col min="7943" max="7943" width="15.7109375" style="1641" customWidth="1"/>
    <col min="7944" max="7944" width="9.5703125" style="1641" bestFit="1" customWidth="1"/>
    <col min="7945" max="7945" width="9.28515625" style="1641" bestFit="1" customWidth="1"/>
    <col min="7946" max="8192" width="9.140625" style="1641"/>
    <col min="8193" max="8193" width="4.85546875" style="1641" customWidth="1"/>
    <col min="8194" max="8194" width="38.42578125" style="1641" customWidth="1"/>
    <col min="8195" max="8195" width="22.7109375" style="1641" customWidth="1"/>
    <col min="8196" max="8198" width="11" style="1641" customWidth="1"/>
    <col min="8199" max="8199" width="15.7109375" style="1641" customWidth="1"/>
    <col min="8200" max="8200" width="9.5703125" style="1641" bestFit="1" customWidth="1"/>
    <col min="8201" max="8201" width="9.28515625" style="1641" bestFit="1" customWidth="1"/>
    <col min="8202" max="8448" width="9.140625" style="1641"/>
    <col min="8449" max="8449" width="4.85546875" style="1641" customWidth="1"/>
    <col min="8450" max="8450" width="38.42578125" style="1641" customWidth="1"/>
    <col min="8451" max="8451" width="22.7109375" style="1641" customWidth="1"/>
    <col min="8452" max="8454" width="11" style="1641" customWidth="1"/>
    <col min="8455" max="8455" width="15.7109375" style="1641" customWidth="1"/>
    <col min="8456" max="8456" width="9.5703125" style="1641" bestFit="1" customWidth="1"/>
    <col min="8457" max="8457" width="9.28515625" style="1641" bestFit="1" customWidth="1"/>
    <col min="8458" max="8704" width="9.140625" style="1641"/>
    <col min="8705" max="8705" width="4.85546875" style="1641" customWidth="1"/>
    <col min="8706" max="8706" width="38.42578125" style="1641" customWidth="1"/>
    <col min="8707" max="8707" width="22.7109375" style="1641" customWidth="1"/>
    <col min="8708" max="8710" width="11" style="1641" customWidth="1"/>
    <col min="8711" max="8711" width="15.7109375" style="1641" customWidth="1"/>
    <col min="8712" max="8712" width="9.5703125" style="1641" bestFit="1" customWidth="1"/>
    <col min="8713" max="8713" width="9.28515625" style="1641" bestFit="1" customWidth="1"/>
    <col min="8714" max="8960" width="9.140625" style="1641"/>
    <col min="8961" max="8961" width="4.85546875" style="1641" customWidth="1"/>
    <col min="8962" max="8962" width="38.42578125" style="1641" customWidth="1"/>
    <col min="8963" max="8963" width="22.7109375" style="1641" customWidth="1"/>
    <col min="8964" max="8966" width="11" style="1641" customWidth="1"/>
    <col min="8967" max="8967" width="15.7109375" style="1641" customWidth="1"/>
    <col min="8968" max="8968" width="9.5703125" style="1641" bestFit="1" customWidth="1"/>
    <col min="8969" max="8969" width="9.28515625" style="1641" bestFit="1" customWidth="1"/>
    <col min="8970" max="9216" width="9.140625" style="1641"/>
    <col min="9217" max="9217" width="4.85546875" style="1641" customWidth="1"/>
    <col min="9218" max="9218" width="38.42578125" style="1641" customWidth="1"/>
    <col min="9219" max="9219" width="22.7109375" style="1641" customWidth="1"/>
    <col min="9220" max="9222" width="11" style="1641" customWidth="1"/>
    <col min="9223" max="9223" width="15.7109375" style="1641" customWidth="1"/>
    <col min="9224" max="9224" width="9.5703125" style="1641" bestFit="1" customWidth="1"/>
    <col min="9225" max="9225" width="9.28515625" style="1641" bestFit="1" customWidth="1"/>
    <col min="9226" max="9472" width="9.140625" style="1641"/>
    <col min="9473" max="9473" width="4.85546875" style="1641" customWidth="1"/>
    <col min="9474" max="9474" width="38.42578125" style="1641" customWidth="1"/>
    <col min="9475" max="9475" width="22.7109375" style="1641" customWidth="1"/>
    <col min="9476" max="9478" width="11" style="1641" customWidth="1"/>
    <col min="9479" max="9479" width="15.7109375" style="1641" customWidth="1"/>
    <col min="9480" max="9480" width="9.5703125" style="1641" bestFit="1" customWidth="1"/>
    <col min="9481" max="9481" width="9.28515625" style="1641" bestFit="1" customWidth="1"/>
    <col min="9482" max="9728" width="9.140625" style="1641"/>
    <col min="9729" max="9729" width="4.85546875" style="1641" customWidth="1"/>
    <col min="9730" max="9730" width="38.42578125" style="1641" customWidth="1"/>
    <col min="9731" max="9731" width="22.7109375" style="1641" customWidth="1"/>
    <col min="9732" max="9734" width="11" style="1641" customWidth="1"/>
    <col min="9735" max="9735" width="15.7109375" style="1641" customWidth="1"/>
    <col min="9736" max="9736" width="9.5703125" style="1641" bestFit="1" customWidth="1"/>
    <col min="9737" max="9737" width="9.28515625" style="1641" bestFit="1" customWidth="1"/>
    <col min="9738" max="9984" width="9.140625" style="1641"/>
    <col min="9985" max="9985" width="4.85546875" style="1641" customWidth="1"/>
    <col min="9986" max="9986" width="38.42578125" style="1641" customWidth="1"/>
    <col min="9987" max="9987" width="22.7109375" style="1641" customWidth="1"/>
    <col min="9988" max="9990" width="11" style="1641" customWidth="1"/>
    <col min="9991" max="9991" width="15.7109375" style="1641" customWidth="1"/>
    <col min="9992" max="9992" width="9.5703125" style="1641" bestFit="1" customWidth="1"/>
    <col min="9993" max="9993" width="9.28515625" style="1641" bestFit="1" customWidth="1"/>
    <col min="9994" max="10240" width="9.140625" style="1641"/>
    <col min="10241" max="10241" width="4.85546875" style="1641" customWidth="1"/>
    <col min="10242" max="10242" width="38.42578125" style="1641" customWidth="1"/>
    <col min="10243" max="10243" width="22.7109375" style="1641" customWidth="1"/>
    <col min="10244" max="10246" width="11" style="1641" customWidth="1"/>
    <col min="10247" max="10247" width="15.7109375" style="1641" customWidth="1"/>
    <col min="10248" max="10248" width="9.5703125" style="1641" bestFit="1" customWidth="1"/>
    <col min="10249" max="10249" width="9.28515625" style="1641" bestFit="1" customWidth="1"/>
    <col min="10250" max="10496" width="9.140625" style="1641"/>
    <col min="10497" max="10497" width="4.85546875" style="1641" customWidth="1"/>
    <col min="10498" max="10498" width="38.42578125" style="1641" customWidth="1"/>
    <col min="10499" max="10499" width="22.7109375" style="1641" customWidth="1"/>
    <col min="10500" max="10502" width="11" style="1641" customWidth="1"/>
    <col min="10503" max="10503" width="15.7109375" style="1641" customWidth="1"/>
    <col min="10504" max="10504" width="9.5703125" style="1641" bestFit="1" customWidth="1"/>
    <col min="10505" max="10505" width="9.28515625" style="1641" bestFit="1" customWidth="1"/>
    <col min="10506" max="10752" width="9.140625" style="1641"/>
    <col min="10753" max="10753" width="4.85546875" style="1641" customWidth="1"/>
    <col min="10754" max="10754" width="38.42578125" style="1641" customWidth="1"/>
    <col min="10755" max="10755" width="22.7109375" style="1641" customWidth="1"/>
    <col min="10756" max="10758" width="11" style="1641" customWidth="1"/>
    <col min="10759" max="10759" width="15.7109375" style="1641" customWidth="1"/>
    <col min="10760" max="10760" width="9.5703125" style="1641" bestFit="1" customWidth="1"/>
    <col min="10761" max="10761" width="9.28515625" style="1641" bestFit="1" customWidth="1"/>
    <col min="10762" max="11008" width="9.140625" style="1641"/>
    <col min="11009" max="11009" width="4.85546875" style="1641" customWidth="1"/>
    <col min="11010" max="11010" width="38.42578125" style="1641" customWidth="1"/>
    <col min="11011" max="11011" width="22.7109375" style="1641" customWidth="1"/>
    <col min="11012" max="11014" width="11" style="1641" customWidth="1"/>
    <col min="11015" max="11015" width="15.7109375" style="1641" customWidth="1"/>
    <col min="11016" max="11016" width="9.5703125" style="1641" bestFit="1" customWidth="1"/>
    <col min="11017" max="11017" width="9.28515625" style="1641" bestFit="1" customWidth="1"/>
    <col min="11018" max="11264" width="9.140625" style="1641"/>
    <col min="11265" max="11265" width="4.85546875" style="1641" customWidth="1"/>
    <col min="11266" max="11266" width="38.42578125" style="1641" customWidth="1"/>
    <col min="11267" max="11267" width="22.7109375" style="1641" customWidth="1"/>
    <col min="11268" max="11270" width="11" style="1641" customWidth="1"/>
    <col min="11271" max="11271" width="15.7109375" style="1641" customWidth="1"/>
    <col min="11272" max="11272" width="9.5703125" style="1641" bestFit="1" customWidth="1"/>
    <col min="11273" max="11273" width="9.28515625" style="1641" bestFit="1" customWidth="1"/>
    <col min="11274" max="11520" width="9.140625" style="1641"/>
    <col min="11521" max="11521" width="4.85546875" style="1641" customWidth="1"/>
    <col min="11522" max="11522" width="38.42578125" style="1641" customWidth="1"/>
    <col min="11523" max="11523" width="22.7109375" style="1641" customWidth="1"/>
    <col min="11524" max="11526" width="11" style="1641" customWidth="1"/>
    <col min="11527" max="11527" width="15.7109375" style="1641" customWidth="1"/>
    <col min="11528" max="11528" width="9.5703125" style="1641" bestFit="1" customWidth="1"/>
    <col min="11529" max="11529" width="9.28515625" style="1641" bestFit="1" customWidth="1"/>
    <col min="11530" max="11776" width="9.140625" style="1641"/>
    <col min="11777" max="11777" width="4.85546875" style="1641" customWidth="1"/>
    <col min="11778" max="11778" width="38.42578125" style="1641" customWidth="1"/>
    <col min="11779" max="11779" width="22.7109375" style="1641" customWidth="1"/>
    <col min="11780" max="11782" width="11" style="1641" customWidth="1"/>
    <col min="11783" max="11783" width="15.7109375" style="1641" customWidth="1"/>
    <col min="11784" max="11784" width="9.5703125" style="1641" bestFit="1" customWidth="1"/>
    <col min="11785" max="11785" width="9.28515625" style="1641" bestFit="1" customWidth="1"/>
    <col min="11786" max="12032" width="9.140625" style="1641"/>
    <col min="12033" max="12033" width="4.85546875" style="1641" customWidth="1"/>
    <col min="12034" max="12034" width="38.42578125" style="1641" customWidth="1"/>
    <col min="12035" max="12035" width="22.7109375" style="1641" customWidth="1"/>
    <col min="12036" max="12038" width="11" style="1641" customWidth="1"/>
    <col min="12039" max="12039" width="15.7109375" style="1641" customWidth="1"/>
    <col min="12040" max="12040" width="9.5703125" style="1641" bestFit="1" customWidth="1"/>
    <col min="12041" max="12041" width="9.28515625" style="1641" bestFit="1" customWidth="1"/>
    <col min="12042" max="12288" width="9.140625" style="1641"/>
    <col min="12289" max="12289" width="4.85546875" style="1641" customWidth="1"/>
    <col min="12290" max="12290" width="38.42578125" style="1641" customWidth="1"/>
    <col min="12291" max="12291" width="22.7109375" style="1641" customWidth="1"/>
    <col min="12292" max="12294" width="11" style="1641" customWidth="1"/>
    <col min="12295" max="12295" width="15.7109375" style="1641" customWidth="1"/>
    <col min="12296" max="12296" width="9.5703125" style="1641" bestFit="1" customWidth="1"/>
    <col min="12297" max="12297" width="9.28515625" style="1641" bestFit="1" customWidth="1"/>
    <col min="12298" max="12544" width="9.140625" style="1641"/>
    <col min="12545" max="12545" width="4.85546875" style="1641" customWidth="1"/>
    <col min="12546" max="12546" width="38.42578125" style="1641" customWidth="1"/>
    <col min="12547" max="12547" width="22.7109375" style="1641" customWidth="1"/>
    <col min="12548" max="12550" width="11" style="1641" customWidth="1"/>
    <col min="12551" max="12551" width="15.7109375" style="1641" customWidth="1"/>
    <col min="12552" max="12552" width="9.5703125" style="1641" bestFit="1" customWidth="1"/>
    <col min="12553" max="12553" width="9.28515625" style="1641" bestFit="1" customWidth="1"/>
    <col min="12554" max="12800" width="9.140625" style="1641"/>
    <col min="12801" max="12801" width="4.85546875" style="1641" customWidth="1"/>
    <col min="12802" max="12802" width="38.42578125" style="1641" customWidth="1"/>
    <col min="12803" max="12803" width="22.7109375" style="1641" customWidth="1"/>
    <col min="12804" max="12806" width="11" style="1641" customWidth="1"/>
    <col min="12807" max="12807" width="15.7109375" style="1641" customWidth="1"/>
    <col min="12808" max="12808" width="9.5703125" style="1641" bestFit="1" customWidth="1"/>
    <col min="12809" max="12809" width="9.28515625" style="1641" bestFit="1" customWidth="1"/>
    <col min="12810" max="13056" width="9.140625" style="1641"/>
    <col min="13057" max="13057" width="4.85546875" style="1641" customWidth="1"/>
    <col min="13058" max="13058" width="38.42578125" style="1641" customWidth="1"/>
    <col min="13059" max="13059" width="22.7109375" style="1641" customWidth="1"/>
    <col min="13060" max="13062" width="11" style="1641" customWidth="1"/>
    <col min="13063" max="13063" width="15.7109375" style="1641" customWidth="1"/>
    <col min="13064" max="13064" width="9.5703125" style="1641" bestFit="1" customWidth="1"/>
    <col min="13065" max="13065" width="9.28515625" style="1641" bestFit="1" customWidth="1"/>
    <col min="13066" max="13312" width="9.140625" style="1641"/>
    <col min="13313" max="13313" width="4.85546875" style="1641" customWidth="1"/>
    <col min="13314" max="13314" width="38.42578125" style="1641" customWidth="1"/>
    <col min="13315" max="13315" width="22.7109375" style="1641" customWidth="1"/>
    <col min="13316" max="13318" width="11" style="1641" customWidth="1"/>
    <col min="13319" max="13319" width="15.7109375" style="1641" customWidth="1"/>
    <col min="13320" max="13320" width="9.5703125" style="1641" bestFit="1" customWidth="1"/>
    <col min="13321" max="13321" width="9.28515625" style="1641" bestFit="1" customWidth="1"/>
    <col min="13322" max="13568" width="9.140625" style="1641"/>
    <col min="13569" max="13569" width="4.85546875" style="1641" customWidth="1"/>
    <col min="13570" max="13570" width="38.42578125" style="1641" customWidth="1"/>
    <col min="13571" max="13571" width="22.7109375" style="1641" customWidth="1"/>
    <col min="13572" max="13574" width="11" style="1641" customWidth="1"/>
    <col min="13575" max="13575" width="15.7109375" style="1641" customWidth="1"/>
    <col min="13576" max="13576" width="9.5703125" style="1641" bestFit="1" customWidth="1"/>
    <col min="13577" max="13577" width="9.28515625" style="1641" bestFit="1" customWidth="1"/>
    <col min="13578" max="13824" width="9.140625" style="1641"/>
    <col min="13825" max="13825" width="4.85546875" style="1641" customWidth="1"/>
    <col min="13826" max="13826" width="38.42578125" style="1641" customWidth="1"/>
    <col min="13827" max="13827" width="22.7109375" style="1641" customWidth="1"/>
    <col min="13828" max="13830" width="11" style="1641" customWidth="1"/>
    <col min="13831" max="13831" width="15.7109375" style="1641" customWidth="1"/>
    <col min="13832" max="13832" width="9.5703125" style="1641" bestFit="1" customWidth="1"/>
    <col min="13833" max="13833" width="9.28515625" style="1641" bestFit="1" customWidth="1"/>
    <col min="13834" max="14080" width="9.140625" style="1641"/>
    <col min="14081" max="14081" width="4.85546875" style="1641" customWidth="1"/>
    <col min="14082" max="14082" width="38.42578125" style="1641" customWidth="1"/>
    <col min="14083" max="14083" width="22.7109375" style="1641" customWidth="1"/>
    <col min="14084" max="14086" width="11" style="1641" customWidth="1"/>
    <col min="14087" max="14087" width="15.7109375" style="1641" customWidth="1"/>
    <col min="14088" max="14088" width="9.5703125" style="1641" bestFit="1" customWidth="1"/>
    <col min="14089" max="14089" width="9.28515625" style="1641" bestFit="1" customWidth="1"/>
    <col min="14090" max="14336" width="9.140625" style="1641"/>
    <col min="14337" max="14337" width="4.85546875" style="1641" customWidth="1"/>
    <col min="14338" max="14338" width="38.42578125" style="1641" customWidth="1"/>
    <col min="14339" max="14339" width="22.7109375" style="1641" customWidth="1"/>
    <col min="14340" max="14342" width="11" style="1641" customWidth="1"/>
    <col min="14343" max="14343" width="15.7109375" style="1641" customWidth="1"/>
    <col min="14344" max="14344" width="9.5703125" style="1641" bestFit="1" customWidth="1"/>
    <col min="14345" max="14345" width="9.28515625" style="1641" bestFit="1" customWidth="1"/>
    <col min="14346" max="14592" width="9.140625" style="1641"/>
    <col min="14593" max="14593" width="4.85546875" style="1641" customWidth="1"/>
    <col min="14594" max="14594" width="38.42578125" style="1641" customWidth="1"/>
    <col min="14595" max="14595" width="22.7109375" style="1641" customWidth="1"/>
    <col min="14596" max="14598" width="11" style="1641" customWidth="1"/>
    <col min="14599" max="14599" width="15.7109375" style="1641" customWidth="1"/>
    <col min="14600" max="14600" width="9.5703125" style="1641" bestFit="1" customWidth="1"/>
    <col min="14601" max="14601" width="9.28515625" style="1641" bestFit="1" customWidth="1"/>
    <col min="14602" max="14848" width="9.140625" style="1641"/>
    <col min="14849" max="14849" width="4.85546875" style="1641" customWidth="1"/>
    <col min="14850" max="14850" width="38.42578125" style="1641" customWidth="1"/>
    <col min="14851" max="14851" width="22.7109375" style="1641" customWidth="1"/>
    <col min="14852" max="14854" width="11" style="1641" customWidth="1"/>
    <col min="14855" max="14855" width="15.7109375" style="1641" customWidth="1"/>
    <col min="14856" max="14856" width="9.5703125" style="1641" bestFit="1" customWidth="1"/>
    <col min="14857" max="14857" width="9.28515625" style="1641" bestFit="1" customWidth="1"/>
    <col min="14858" max="15104" width="9.140625" style="1641"/>
    <col min="15105" max="15105" width="4.85546875" style="1641" customWidth="1"/>
    <col min="15106" max="15106" width="38.42578125" style="1641" customWidth="1"/>
    <col min="15107" max="15107" width="22.7109375" style="1641" customWidth="1"/>
    <col min="15108" max="15110" width="11" style="1641" customWidth="1"/>
    <col min="15111" max="15111" width="15.7109375" style="1641" customWidth="1"/>
    <col min="15112" max="15112" width="9.5703125" style="1641" bestFit="1" customWidth="1"/>
    <col min="15113" max="15113" width="9.28515625" style="1641" bestFit="1" customWidth="1"/>
    <col min="15114" max="15360" width="9.140625" style="1641"/>
    <col min="15361" max="15361" width="4.85546875" style="1641" customWidth="1"/>
    <col min="15362" max="15362" width="38.42578125" style="1641" customWidth="1"/>
    <col min="15363" max="15363" width="22.7109375" style="1641" customWidth="1"/>
    <col min="15364" max="15366" width="11" style="1641" customWidth="1"/>
    <col min="15367" max="15367" width="15.7109375" style="1641" customWidth="1"/>
    <col min="15368" max="15368" width="9.5703125" style="1641" bestFit="1" customWidth="1"/>
    <col min="15369" max="15369" width="9.28515625" style="1641" bestFit="1" customWidth="1"/>
    <col min="15370" max="15616" width="9.140625" style="1641"/>
    <col min="15617" max="15617" width="4.85546875" style="1641" customWidth="1"/>
    <col min="15618" max="15618" width="38.42578125" style="1641" customWidth="1"/>
    <col min="15619" max="15619" width="22.7109375" style="1641" customWidth="1"/>
    <col min="15620" max="15622" width="11" style="1641" customWidth="1"/>
    <col min="15623" max="15623" width="15.7109375" style="1641" customWidth="1"/>
    <col min="15624" max="15624" width="9.5703125" style="1641" bestFit="1" customWidth="1"/>
    <col min="15625" max="15625" width="9.28515625" style="1641" bestFit="1" customWidth="1"/>
    <col min="15626" max="15872" width="9.140625" style="1641"/>
    <col min="15873" max="15873" width="4.85546875" style="1641" customWidth="1"/>
    <col min="15874" max="15874" width="38.42578125" style="1641" customWidth="1"/>
    <col min="15875" max="15875" width="22.7109375" style="1641" customWidth="1"/>
    <col min="15876" max="15878" width="11" style="1641" customWidth="1"/>
    <col min="15879" max="15879" width="15.7109375" style="1641" customWidth="1"/>
    <col min="15880" max="15880" width="9.5703125" style="1641" bestFit="1" customWidth="1"/>
    <col min="15881" max="15881" width="9.28515625" style="1641" bestFit="1" customWidth="1"/>
    <col min="15882" max="16128" width="9.140625" style="1641"/>
    <col min="16129" max="16129" width="4.85546875" style="1641" customWidth="1"/>
    <col min="16130" max="16130" width="38.42578125" style="1641" customWidth="1"/>
    <col min="16131" max="16131" width="22.7109375" style="1641" customWidth="1"/>
    <col min="16132" max="16134" width="11" style="1641" customWidth="1"/>
    <col min="16135" max="16135" width="15.7109375" style="1641" customWidth="1"/>
    <col min="16136" max="16136" width="9.5703125" style="1641" bestFit="1" customWidth="1"/>
    <col min="16137" max="16137" width="9.28515625" style="1641" bestFit="1" customWidth="1"/>
    <col min="16138" max="16384" width="9.140625" style="1641"/>
  </cols>
  <sheetData>
    <row r="1" spans="1:256" s="1603" customFormat="1" ht="18" customHeight="1" x14ac:dyDescent="0.2">
      <c r="D1" s="1604"/>
      <c r="E1" s="1604"/>
      <c r="F1" s="1604"/>
      <c r="G1" s="1604"/>
      <c r="J1" s="1633"/>
      <c r="K1" s="1633"/>
      <c r="N1" s="1634"/>
      <c r="O1" s="1634"/>
      <c r="P1" s="1635"/>
      <c r="Q1" s="1636"/>
      <c r="R1" s="1504"/>
      <c r="S1" s="1636"/>
      <c r="T1" s="1635"/>
    </row>
    <row r="2" spans="1:256" s="1279" customFormat="1" ht="18" customHeight="1" x14ac:dyDescent="0.2">
      <c r="A2" s="1603"/>
      <c r="B2" s="1603"/>
      <c r="C2" s="1603"/>
      <c r="D2" s="56"/>
      <c r="E2" s="1637"/>
      <c r="F2" s="1638"/>
      <c r="G2" s="1605"/>
      <c r="I2" s="1639"/>
      <c r="J2" s="1640"/>
      <c r="K2" s="1640"/>
    </row>
    <row r="3" spans="1:256" s="1603" customFormat="1" ht="18" customHeight="1" x14ac:dyDescent="0.2">
      <c r="D3" s="56"/>
      <c r="E3" s="1637"/>
      <c r="F3" s="1638"/>
      <c r="G3" s="1605"/>
      <c r="I3" s="1639"/>
      <c r="J3" s="1640"/>
      <c r="K3" s="1640"/>
      <c r="N3" s="1634"/>
      <c r="O3" s="1634"/>
      <c r="P3" s="1635"/>
      <c r="Q3" s="1636"/>
      <c r="R3" s="1504"/>
      <c r="S3" s="1636"/>
      <c r="T3" s="1635"/>
    </row>
    <row r="4" spans="1:256" ht="15.75" x14ac:dyDescent="0.2">
      <c r="A4" s="1606"/>
      <c r="B4" s="1606"/>
      <c r="C4" s="1606"/>
      <c r="D4" s="1607"/>
      <c r="E4" s="1606"/>
      <c r="F4" s="1608"/>
      <c r="G4" s="1606"/>
    </row>
    <row r="5" spans="1:256" ht="16.5" x14ac:dyDescent="0.2">
      <c r="A5" s="2269" t="s">
        <v>689</v>
      </c>
      <c r="B5" s="2269"/>
      <c r="C5" s="2269"/>
      <c r="D5" s="2269"/>
      <c r="E5" s="2269"/>
      <c r="F5" s="2269"/>
      <c r="G5" s="2269"/>
      <c r="H5" s="253"/>
    </row>
    <row r="6" spans="1:256" s="1644" customFormat="1" ht="27.75" hidden="1" customHeight="1" x14ac:dyDescent="0.2">
      <c r="A6" s="2266" t="s">
        <v>685</v>
      </c>
      <c r="B6" s="2266"/>
      <c r="C6" s="2266"/>
      <c r="D6" s="2266"/>
      <c r="E6" s="2266"/>
      <c r="F6" s="2266"/>
      <c r="G6" s="2266"/>
      <c r="H6" s="1642"/>
      <c r="I6" s="1643"/>
      <c r="J6" s="1611"/>
      <c r="K6" s="1611"/>
      <c r="L6" s="1611"/>
      <c r="M6" s="1611"/>
      <c r="N6" s="1611"/>
      <c r="O6" s="1611"/>
      <c r="P6" s="1611"/>
      <c r="Q6" s="1610"/>
      <c r="R6" s="1610"/>
      <c r="S6" s="1610"/>
      <c r="T6" s="1610"/>
      <c r="U6" s="1610"/>
      <c r="V6" s="1610"/>
      <c r="W6" s="1610"/>
      <c r="X6" s="2267"/>
      <c r="Y6" s="2268"/>
      <c r="Z6" s="2267"/>
      <c r="AA6" s="2267"/>
      <c r="AB6" s="2267"/>
      <c r="AC6" s="2267"/>
      <c r="AD6" s="2267"/>
      <c r="AE6" s="1610"/>
      <c r="AF6" s="1610"/>
      <c r="AG6" s="1610"/>
      <c r="AH6" s="1610"/>
      <c r="AI6" s="1610"/>
      <c r="AJ6" s="1610"/>
      <c r="AK6" s="1610"/>
      <c r="AL6" s="1610"/>
      <c r="AM6" s="1610"/>
      <c r="AN6" s="1610"/>
      <c r="AO6" s="1610"/>
      <c r="AP6" s="1610"/>
      <c r="AQ6" s="1610"/>
      <c r="AR6" s="1610"/>
      <c r="AS6" s="1610"/>
      <c r="AT6" s="1610"/>
      <c r="AU6" s="1610"/>
      <c r="AV6" s="1610"/>
      <c r="AW6" s="1610"/>
      <c r="AX6" s="1610"/>
      <c r="AY6" s="1610"/>
      <c r="AZ6" s="1610"/>
      <c r="BA6" s="1610"/>
      <c r="BB6" s="1610"/>
      <c r="BC6" s="1610"/>
      <c r="BD6" s="1610"/>
      <c r="BE6" s="1610"/>
      <c r="BF6" s="1610"/>
      <c r="BG6" s="1610"/>
      <c r="BH6" s="1610"/>
      <c r="BI6" s="1610"/>
      <c r="BJ6" s="1610"/>
      <c r="BK6" s="1610"/>
      <c r="BL6" s="1610"/>
      <c r="BM6" s="1610"/>
      <c r="BN6" s="1610"/>
      <c r="BO6" s="1610"/>
      <c r="BP6" s="1610"/>
      <c r="BQ6" s="1610"/>
      <c r="BR6" s="1610"/>
      <c r="BS6" s="1610"/>
      <c r="BT6" s="1610"/>
      <c r="BU6" s="1610"/>
      <c r="BV6" s="1610"/>
      <c r="BW6" s="1610"/>
      <c r="BX6" s="1610"/>
      <c r="BY6" s="1610"/>
      <c r="BZ6" s="1610"/>
      <c r="CA6" s="1610"/>
      <c r="CB6" s="1610"/>
      <c r="CC6" s="1610"/>
      <c r="CD6" s="1610"/>
      <c r="CE6" s="1610"/>
      <c r="CF6" s="1610"/>
      <c r="CG6" s="1610"/>
      <c r="CH6" s="1610"/>
      <c r="CI6" s="1610"/>
      <c r="CJ6" s="1610"/>
      <c r="CK6" s="1610"/>
      <c r="CL6" s="1610"/>
      <c r="CM6" s="1610"/>
      <c r="CN6" s="1610"/>
      <c r="CO6" s="1610"/>
      <c r="CP6" s="1610"/>
      <c r="CQ6" s="1610"/>
      <c r="CR6" s="1610"/>
      <c r="CS6" s="1610"/>
      <c r="CT6" s="1610"/>
      <c r="CU6" s="1610"/>
      <c r="CV6" s="1610"/>
      <c r="CW6" s="1610"/>
      <c r="CX6" s="1610"/>
      <c r="CY6" s="1610"/>
      <c r="CZ6" s="1610"/>
      <c r="DA6" s="1610"/>
      <c r="DB6" s="1610"/>
      <c r="DC6" s="1610"/>
      <c r="DD6" s="1610"/>
      <c r="DE6" s="1610"/>
      <c r="DF6" s="1610"/>
      <c r="DG6" s="1610"/>
      <c r="DH6" s="1610"/>
      <c r="DI6" s="1610"/>
      <c r="DJ6" s="1610"/>
      <c r="DK6" s="1610"/>
      <c r="DL6" s="1610"/>
      <c r="DM6" s="1610"/>
      <c r="DN6" s="1610"/>
      <c r="DO6" s="1610"/>
      <c r="DP6" s="1610"/>
      <c r="DQ6" s="1610"/>
      <c r="DR6" s="1610"/>
      <c r="DS6" s="1610"/>
      <c r="DT6" s="1610"/>
      <c r="DU6" s="1610"/>
      <c r="DV6" s="1610"/>
      <c r="DW6" s="1610"/>
      <c r="DX6" s="1610"/>
      <c r="DY6" s="1610"/>
      <c r="DZ6" s="1610"/>
      <c r="EA6" s="1610"/>
      <c r="EB6" s="1610"/>
      <c r="EC6" s="1610"/>
      <c r="ED6" s="1610"/>
      <c r="EE6" s="1610"/>
      <c r="EF6" s="1610"/>
      <c r="EG6" s="1610"/>
      <c r="EH6" s="1610"/>
      <c r="EI6" s="1610"/>
      <c r="EJ6" s="1610"/>
      <c r="EK6" s="1610"/>
      <c r="EL6" s="1610"/>
      <c r="EM6" s="1610"/>
      <c r="EN6" s="1610"/>
      <c r="EO6" s="1610"/>
      <c r="EP6" s="1610"/>
      <c r="EQ6" s="1610"/>
      <c r="ER6" s="1610"/>
      <c r="ES6" s="1610"/>
      <c r="ET6" s="1610"/>
      <c r="EU6" s="1610"/>
      <c r="EV6" s="1610"/>
      <c r="EW6" s="1610"/>
      <c r="EX6" s="1610"/>
      <c r="EY6" s="1610"/>
      <c r="EZ6" s="1610"/>
      <c r="FA6" s="1610"/>
      <c r="FB6" s="1610"/>
      <c r="FC6" s="1610"/>
      <c r="FD6" s="1610"/>
      <c r="FE6" s="1610"/>
      <c r="FF6" s="1610"/>
      <c r="FG6" s="1610"/>
      <c r="FH6" s="1610"/>
      <c r="FI6" s="1610"/>
      <c r="FJ6" s="1610"/>
      <c r="FK6" s="1610"/>
      <c r="FL6" s="1610"/>
      <c r="FM6" s="1610"/>
      <c r="FN6" s="1610"/>
      <c r="FO6" s="1610"/>
      <c r="FP6" s="1610"/>
      <c r="FQ6" s="1610"/>
      <c r="FR6" s="1610"/>
      <c r="FS6" s="1610"/>
      <c r="FT6" s="1610"/>
      <c r="FU6" s="1610"/>
      <c r="FV6" s="1610"/>
      <c r="FW6" s="1610"/>
      <c r="FX6" s="1610"/>
      <c r="FY6" s="1610"/>
      <c r="FZ6" s="1610"/>
      <c r="GA6" s="1610"/>
      <c r="GB6" s="1610"/>
      <c r="GC6" s="1610"/>
      <c r="GD6" s="1610"/>
      <c r="GE6" s="1610"/>
      <c r="GF6" s="1610"/>
      <c r="GG6" s="1610"/>
      <c r="GH6" s="1610"/>
      <c r="GI6" s="1610"/>
      <c r="GJ6" s="1610"/>
      <c r="GK6" s="1610"/>
      <c r="GL6" s="1610"/>
      <c r="GM6" s="1610"/>
      <c r="GN6" s="1610"/>
      <c r="GO6" s="1610"/>
      <c r="GP6" s="1610"/>
      <c r="GQ6" s="1610"/>
      <c r="GR6" s="1610"/>
      <c r="GS6" s="1610"/>
      <c r="GT6" s="1610"/>
      <c r="GU6" s="1610"/>
      <c r="GV6" s="1610"/>
      <c r="GW6" s="1610"/>
      <c r="GX6" s="1610"/>
      <c r="GY6" s="1610"/>
      <c r="GZ6" s="1610"/>
      <c r="HA6" s="1610"/>
      <c r="HB6" s="1610"/>
      <c r="HC6" s="1610"/>
      <c r="HD6" s="1610"/>
      <c r="HE6" s="1610"/>
      <c r="HF6" s="1610"/>
      <c r="HG6" s="1610"/>
      <c r="HH6" s="1610"/>
      <c r="HI6" s="1610"/>
      <c r="HJ6" s="1610"/>
      <c r="HK6" s="1610"/>
      <c r="HL6" s="1610"/>
      <c r="HM6" s="1610"/>
      <c r="HN6" s="1610"/>
      <c r="HO6" s="1610"/>
      <c r="HP6" s="1610"/>
      <c r="HQ6" s="1610"/>
      <c r="HR6" s="1610"/>
      <c r="HS6" s="1610"/>
      <c r="HT6" s="1610"/>
      <c r="HU6" s="1610"/>
      <c r="HV6" s="1610"/>
      <c r="HW6" s="1610"/>
      <c r="HX6" s="1610"/>
      <c r="HY6" s="1610"/>
      <c r="HZ6" s="1610"/>
      <c r="IA6" s="1610"/>
      <c r="IB6" s="1610"/>
      <c r="IC6" s="1610"/>
      <c r="ID6" s="1610"/>
      <c r="IE6" s="1610"/>
      <c r="IF6" s="1610"/>
      <c r="IG6" s="1610"/>
      <c r="IH6" s="1610"/>
      <c r="II6" s="1610"/>
      <c r="IJ6" s="1610"/>
      <c r="IK6" s="1610"/>
      <c r="IL6" s="1610"/>
      <c r="IM6" s="1610"/>
      <c r="IN6" s="1610"/>
      <c r="IO6" s="1610"/>
      <c r="IP6" s="1610"/>
      <c r="IQ6" s="1610"/>
      <c r="IR6" s="1610"/>
      <c r="IS6" s="1610"/>
      <c r="IT6" s="1610"/>
      <c r="IU6" s="1610"/>
      <c r="IV6" s="1610"/>
    </row>
    <row r="7" spans="1:256" s="41" customFormat="1" ht="23.25" customHeight="1" x14ac:dyDescent="0.2">
      <c r="A7" s="2259" t="str">
        <f>' ССР (нов)'!A6:G6</f>
        <v xml:space="preserve">Реконструкция теплового ввода </v>
      </c>
      <c r="B7" s="2260"/>
      <c r="C7" s="2260"/>
      <c r="D7" s="2260"/>
      <c r="E7" s="2260"/>
      <c r="F7" s="2260"/>
      <c r="G7" s="2260"/>
      <c r="H7" s="42"/>
    </row>
    <row r="8" spans="1:256" s="41" customFormat="1" ht="30" customHeight="1" x14ac:dyDescent="0.2">
      <c r="A8" s="2264" t="str">
        <f>' ССР (нов)'!A7:G7</f>
        <v>г. Москва , ул. Мневники д.4</v>
      </c>
      <c r="B8" s="2263"/>
      <c r="C8" s="2263"/>
      <c r="D8" s="2263"/>
      <c r="E8" s="2263"/>
      <c r="F8" s="2263"/>
      <c r="G8" s="2263"/>
    </row>
    <row r="9" spans="1:256" s="1644" customFormat="1" ht="27.75" customHeight="1" x14ac:dyDescent="0.2">
      <c r="A9" s="2266" t="s">
        <v>685</v>
      </c>
      <c r="B9" s="2266"/>
      <c r="C9" s="2266"/>
      <c r="D9" s="2266"/>
      <c r="E9" s="2266"/>
      <c r="F9" s="2266"/>
      <c r="G9" s="2266"/>
      <c r="H9" s="1642"/>
      <c r="I9" s="1643"/>
      <c r="J9" s="1611"/>
      <c r="K9" s="1611"/>
      <c r="L9" s="1611"/>
      <c r="M9" s="1611"/>
      <c r="N9" s="1611"/>
      <c r="O9" s="1611"/>
      <c r="P9" s="1611"/>
      <c r="Q9" s="1610"/>
      <c r="R9" s="1610"/>
      <c r="S9" s="1610"/>
      <c r="T9" s="1610"/>
      <c r="U9" s="1610"/>
      <c r="V9" s="1610"/>
      <c r="W9" s="1610"/>
      <c r="X9" s="2267"/>
      <c r="Y9" s="2268"/>
      <c r="Z9" s="2267"/>
      <c r="AA9" s="2267"/>
      <c r="AB9" s="2267"/>
      <c r="AC9" s="2267"/>
      <c r="AD9" s="2267"/>
      <c r="AE9" s="1610"/>
      <c r="AF9" s="1610"/>
      <c r="AG9" s="1610"/>
      <c r="AH9" s="1610"/>
      <c r="AI9" s="1610"/>
      <c r="AJ9" s="1610"/>
      <c r="AK9" s="1610"/>
      <c r="AL9" s="1610"/>
      <c r="AM9" s="1610"/>
      <c r="AN9" s="1610"/>
      <c r="AO9" s="1610"/>
      <c r="AP9" s="1610"/>
      <c r="AQ9" s="1610"/>
      <c r="AR9" s="1610"/>
      <c r="AS9" s="1610"/>
      <c r="AT9" s="1610"/>
      <c r="AU9" s="1610"/>
      <c r="AV9" s="1610"/>
      <c r="AW9" s="1610"/>
      <c r="AX9" s="1610"/>
      <c r="AY9" s="1610"/>
      <c r="AZ9" s="1610"/>
      <c r="BA9" s="1610"/>
      <c r="BB9" s="1610"/>
      <c r="BC9" s="1610"/>
      <c r="BD9" s="1610"/>
      <c r="BE9" s="1610"/>
      <c r="BF9" s="1610"/>
      <c r="BG9" s="1610"/>
      <c r="BH9" s="1610"/>
      <c r="BI9" s="1610"/>
      <c r="BJ9" s="1610"/>
      <c r="BK9" s="1610"/>
      <c r="BL9" s="1610"/>
      <c r="BM9" s="1610"/>
      <c r="BN9" s="1610"/>
      <c r="BO9" s="1610"/>
      <c r="BP9" s="1610"/>
      <c r="BQ9" s="1610"/>
      <c r="BR9" s="1610"/>
      <c r="BS9" s="1610"/>
      <c r="BT9" s="1610"/>
      <c r="BU9" s="1610"/>
      <c r="BV9" s="1610"/>
      <c r="BW9" s="1610"/>
      <c r="BX9" s="1610"/>
      <c r="BY9" s="1610"/>
      <c r="BZ9" s="1610"/>
      <c r="CA9" s="1610"/>
      <c r="CB9" s="1610"/>
      <c r="CC9" s="1610"/>
      <c r="CD9" s="1610"/>
      <c r="CE9" s="1610"/>
      <c r="CF9" s="1610"/>
      <c r="CG9" s="1610"/>
      <c r="CH9" s="1610"/>
      <c r="CI9" s="1610"/>
      <c r="CJ9" s="1610"/>
      <c r="CK9" s="1610"/>
      <c r="CL9" s="1610"/>
      <c r="CM9" s="1610"/>
      <c r="CN9" s="1610"/>
      <c r="CO9" s="1610"/>
      <c r="CP9" s="1610"/>
      <c r="CQ9" s="1610"/>
      <c r="CR9" s="1610"/>
      <c r="CS9" s="1610"/>
      <c r="CT9" s="1610"/>
      <c r="CU9" s="1610"/>
      <c r="CV9" s="1610"/>
      <c r="CW9" s="1610"/>
      <c r="CX9" s="1610"/>
      <c r="CY9" s="1610"/>
      <c r="CZ9" s="1610"/>
      <c r="DA9" s="1610"/>
      <c r="DB9" s="1610"/>
      <c r="DC9" s="1610"/>
      <c r="DD9" s="1610"/>
      <c r="DE9" s="1610"/>
      <c r="DF9" s="1610"/>
      <c r="DG9" s="1610"/>
      <c r="DH9" s="1610"/>
      <c r="DI9" s="1610"/>
      <c r="DJ9" s="1610"/>
      <c r="DK9" s="1610"/>
      <c r="DL9" s="1610"/>
      <c r="DM9" s="1610"/>
      <c r="DN9" s="1610"/>
      <c r="DO9" s="1610"/>
      <c r="DP9" s="1610"/>
      <c r="DQ9" s="1610"/>
      <c r="DR9" s="1610"/>
      <c r="DS9" s="1610"/>
      <c r="DT9" s="1610"/>
      <c r="DU9" s="1610"/>
      <c r="DV9" s="1610"/>
      <c r="DW9" s="1610"/>
      <c r="DX9" s="1610"/>
      <c r="DY9" s="1610"/>
      <c r="DZ9" s="1610"/>
      <c r="EA9" s="1610"/>
      <c r="EB9" s="1610"/>
      <c r="EC9" s="1610"/>
      <c r="ED9" s="1610"/>
      <c r="EE9" s="1610"/>
      <c r="EF9" s="1610"/>
      <c r="EG9" s="1610"/>
      <c r="EH9" s="1610"/>
      <c r="EI9" s="1610"/>
      <c r="EJ9" s="1610"/>
      <c r="EK9" s="1610"/>
      <c r="EL9" s="1610"/>
      <c r="EM9" s="1610"/>
      <c r="EN9" s="1610"/>
      <c r="EO9" s="1610"/>
      <c r="EP9" s="1610"/>
      <c r="EQ9" s="1610"/>
      <c r="ER9" s="1610"/>
      <c r="ES9" s="1610"/>
      <c r="ET9" s="1610"/>
      <c r="EU9" s="1610"/>
      <c r="EV9" s="1610"/>
      <c r="EW9" s="1610"/>
      <c r="EX9" s="1610"/>
      <c r="EY9" s="1610"/>
      <c r="EZ9" s="1610"/>
      <c r="FA9" s="1610"/>
      <c r="FB9" s="1610"/>
      <c r="FC9" s="1610"/>
      <c r="FD9" s="1610"/>
      <c r="FE9" s="1610"/>
      <c r="FF9" s="1610"/>
      <c r="FG9" s="1610"/>
      <c r="FH9" s="1610"/>
      <c r="FI9" s="1610"/>
      <c r="FJ9" s="1610"/>
      <c r="FK9" s="1610"/>
      <c r="FL9" s="1610"/>
      <c r="FM9" s="1610"/>
      <c r="FN9" s="1610"/>
      <c r="FO9" s="1610"/>
      <c r="FP9" s="1610"/>
      <c r="FQ9" s="1610"/>
      <c r="FR9" s="1610"/>
      <c r="FS9" s="1610"/>
      <c r="FT9" s="1610"/>
      <c r="FU9" s="1610"/>
      <c r="FV9" s="1610"/>
      <c r="FW9" s="1610"/>
      <c r="FX9" s="1610"/>
      <c r="FY9" s="1610"/>
      <c r="FZ9" s="1610"/>
      <c r="GA9" s="1610"/>
      <c r="GB9" s="1610"/>
      <c r="GC9" s="1610"/>
      <c r="GD9" s="1610"/>
      <c r="GE9" s="1610"/>
      <c r="GF9" s="1610"/>
      <c r="GG9" s="1610"/>
      <c r="GH9" s="1610"/>
      <c r="GI9" s="1610"/>
      <c r="GJ9" s="1610"/>
      <c r="GK9" s="1610"/>
      <c r="GL9" s="1610"/>
      <c r="GM9" s="1610"/>
      <c r="GN9" s="1610"/>
      <c r="GO9" s="1610"/>
      <c r="GP9" s="1610"/>
      <c r="GQ9" s="1610"/>
      <c r="GR9" s="1610"/>
      <c r="GS9" s="1610"/>
      <c r="GT9" s="1610"/>
      <c r="GU9" s="1610"/>
      <c r="GV9" s="1610"/>
      <c r="GW9" s="1610"/>
      <c r="GX9" s="1610"/>
      <c r="GY9" s="1610"/>
      <c r="GZ9" s="1610"/>
      <c r="HA9" s="1610"/>
      <c r="HB9" s="1610"/>
      <c r="HC9" s="1610"/>
      <c r="HD9" s="1610"/>
      <c r="HE9" s="1610"/>
      <c r="HF9" s="1610"/>
      <c r="HG9" s="1610"/>
      <c r="HH9" s="1610"/>
      <c r="HI9" s="1610"/>
      <c r="HJ9" s="1610"/>
      <c r="HK9" s="1610"/>
      <c r="HL9" s="1610"/>
      <c r="HM9" s="1610"/>
      <c r="HN9" s="1610"/>
      <c r="HO9" s="1610"/>
      <c r="HP9" s="1610"/>
      <c r="HQ9" s="1610"/>
      <c r="HR9" s="1610"/>
      <c r="HS9" s="1610"/>
      <c r="HT9" s="1610"/>
      <c r="HU9" s="1610"/>
      <c r="HV9" s="1610"/>
      <c r="HW9" s="1610"/>
      <c r="HX9" s="1610"/>
      <c r="HY9" s="1610"/>
      <c r="HZ9" s="1610"/>
      <c r="IA9" s="1610"/>
      <c r="IB9" s="1610"/>
      <c r="IC9" s="1610"/>
      <c r="ID9" s="1610"/>
      <c r="IE9" s="1610"/>
      <c r="IF9" s="1610"/>
      <c r="IG9" s="1610"/>
      <c r="IH9" s="1610"/>
      <c r="II9" s="1610"/>
      <c r="IJ9" s="1610"/>
      <c r="IK9" s="1610"/>
      <c r="IL9" s="1610"/>
      <c r="IM9" s="1610"/>
      <c r="IN9" s="1610"/>
      <c r="IO9" s="1610"/>
      <c r="IP9" s="1610"/>
      <c r="IQ9" s="1610"/>
      <c r="IR9" s="1610"/>
      <c r="IS9" s="1610"/>
      <c r="IT9" s="1610"/>
      <c r="IU9" s="1610"/>
      <c r="IV9" s="1610"/>
    </row>
    <row r="10" spans="1:256" ht="33.75" customHeight="1" x14ac:dyDescent="0.2">
      <c r="A10" s="2265" t="s">
        <v>69</v>
      </c>
      <c r="B10" s="2265"/>
      <c r="C10" s="2265"/>
      <c r="D10" s="2265"/>
      <c r="E10" s="2265"/>
      <c r="F10" s="2265"/>
      <c r="G10" s="2265"/>
    </row>
    <row r="11" spans="1:256" ht="15.75" x14ac:dyDescent="0.2">
      <c r="A11" s="1612"/>
      <c r="B11" s="1612" t="s">
        <v>686</v>
      </c>
      <c r="C11" s="1612"/>
      <c r="D11" s="1612"/>
      <c r="E11" s="1612"/>
      <c r="F11" s="1612"/>
      <c r="G11" s="1612"/>
    </row>
    <row r="12" spans="1:256" ht="76.5" x14ac:dyDescent="0.2">
      <c r="A12" s="1613" t="s">
        <v>19</v>
      </c>
      <c r="B12" s="1614" t="s">
        <v>20</v>
      </c>
      <c r="C12" s="1614" t="s">
        <v>71</v>
      </c>
      <c r="D12" s="1615" t="s">
        <v>70</v>
      </c>
      <c r="E12" s="1614" t="s">
        <v>21</v>
      </c>
      <c r="F12" s="1614" t="s">
        <v>22</v>
      </c>
      <c r="G12" s="1614" t="s">
        <v>23</v>
      </c>
    </row>
    <row r="13" spans="1:256" ht="15.75" x14ac:dyDescent="0.2">
      <c r="A13" s="1616"/>
      <c r="B13" s="1616" t="s">
        <v>24</v>
      </c>
      <c r="C13" s="1616"/>
      <c r="D13" s="1645"/>
      <c r="E13" s="1645" t="s">
        <v>25</v>
      </c>
      <c r="F13" s="1618">
        <f>Т.с.!C17</f>
        <v>17.8</v>
      </c>
      <c r="G13" s="1645"/>
      <c r="H13" s="1646"/>
    </row>
    <row r="14" spans="1:256" ht="67.5" customHeight="1" x14ac:dyDescent="0.2">
      <c r="A14" s="1616"/>
      <c r="B14" s="1619" t="s">
        <v>26</v>
      </c>
      <c r="C14" s="1616"/>
      <c r="D14" s="1645"/>
      <c r="E14" s="1645"/>
      <c r="F14" s="1647"/>
      <c r="G14" s="1645"/>
    </row>
    <row r="15" spans="1:256" ht="27" customHeight="1" x14ac:dyDescent="0.2">
      <c r="A15" s="1616"/>
      <c r="B15" s="1616" t="s">
        <v>27</v>
      </c>
      <c r="C15" s="1616" t="s">
        <v>28</v>
      </c>
      <c r="D15" s="1622">
        <v>522</v>
      </c>
      <c r="E15" s="1645"/>
      <c r="F15" s="1647">
        <f>F13</f>
        <v>17.8</v>
      </c>
      <c r="G15" s="1648">
        <f>ROUND(D15*F13,0)</f>
        <v>9292</v>
      </c>
    </row>
    <row r="16" spans="1:256" ht="87" hidden="1" customHeight="1" x14ac:dyDescent="0.2">
      <c r="A16" s="1616"/>
      <c r="B16" s="1619" t="s">
        <v>29</v>
      </c>
      <c r="C16" s="1616" t="s">
        <v>30</v>
      </c>
      <c r="D16" s="1645">
        <v>1.1499999999999999</v>
      </c>
      <c r="E16" s="1645"/>
      <c r="F16" s="1647"/>
      <c r="G16" s="1622">
        <v>0</v>
      </c>
      <c r="H16" s="1646"/>
    </row>
    <row r="17" spans="1:8" s="41" customFormat="1" ht="45" x14ac:dyDescent="0.2">
      <c r="A17" s="241"/>
      <c r="B17" s="240" t="s">
        <v>29</v>
      </c>
      <c r="C17" s="241" t="s">
        <v>30</v>
      </c>
      <c r="D17" s="242">
        <v>1.1499999999999999</v>
      </c>
      <c r="E17" s="241"/>
      <c r="F17" s="244"/>
      <c r="G17" s="247">
        <f>G15*D17</f>
        <v>10685.8</v>
      </c>
      <c r="H17" s="42"/>
    </row>
    <row r="18" spans="1:8" s="41" customFormat="1" ht="15.75" x14ac:dyDescent="0.2">
      <c r="A18" s="241"/>
      <c r="B18" s="252" t="s">
        <v>307</v>
      </c>
      <c r="C18" s="241"/>
      <c r="D18" s="242"/>
      <c r="E18" s="241"/>
      <c r="F18" s="244"/>
      <c r="G18" s="249">
        <f>G17</f>
        <v>10685.8</v>
      </c>
    </row>
    <row r="19" spans="1:8" s="41" customFormat="1" ht="15.75" x14ac:dyDescent="0.2">
      <c r="A19" s="241"/>
      <c r="B19" s="248"/>
      <c r="C19" s="250"/>
      <c r="D19" s="251"/>
      <c r="E19" s="241"/>
      <c r="F19" s="244"/>
      <c r="G19" s="249"/>
    </row>
    <row r="20" spans="1:8" s="41" customFormat="1" ht="15.75" x14ac:dyDescent="0.2">
      <c r="A20" s="241"/>
      <c r="B20" s="248" t="s">
        <v>634</v>
      </c>
      <c r="C20" s="241"/>
      <c r="D20" s="242"/>
      <c r="E20" s="241"/>
      <c r="F20" s="244"/>
      <c r="G20" s="249">
        <f>G18</f>
        <v>10685.8</v>
      </c>
      <c r="H20" s="57"/>
    </row>
    <row r="23" spans="1:8" s="1628" customFormat="1" ht="15" x14ac:dyDescent="0.2">
      <c r="A23" s="1627"/>
      <c r="C23" s="1627"/>
      <c r="D23" s="1627"/>
      <c r="E23" s="1627"/>
      <c r="F23" s="1629"/>
      <c r="G23" s="1627"/>
    </row>
    <row r="24" spans="1:8" s="485" customFormat="1" outlineLevel="1" x14ac:dyDescent="0.2"/>
  </sheetData>
  <mergeCells count="8">
    <mergeCell ref="A10:G10"/>
    <mergeCell ref="A9:G9"/>
    <mergeCell ref="X9:AD9"/>
    <mergeCell ref="A5:G5"/>
    <mergeCell ref="A6:G6"/>
    <mergeCell ref="X6:AD6"/>
    <mergeCell ref="A7:G7"/>
    <mergeCell ref="A8:G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8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W23"/>
  <sheetViews>
    <sheetView workbookViewId="0">
      <selection activeCell="A8" sqref="A8:G8"/>
    </sheetView>
  </sheetViews>
  <sheetFormatPr defaultRowHeight="12.75" outlineLevelRow="1" x14ac:dyDescent="0.2"/>
  <cols>
    <col min="1" max="1" width="4.85546875" style="1630" customWidth="1"/>
    <col min="2" max="2" width="38.42578125" style="1630" customWidth="1"/>
    <col min="3" max="3" width="22.7109375" style="1630" customWidth="1"/>
    <col min="4" max="4" width="11" style="1631" customWidth="1"/>
    <col min="5" max="5" width="11" style="1630" customWidth="1"/>
    <col min="6" max="6" width="11" style="1632" customWidth="1"/>
    <col min="7" max="7" width="15.7109375" style="1630" customWidth="1"/>
    <col min="8" max="256" width="9.140625" style="1609"/>
    <col min="257" max="257" width="4.85546875" style="1609" customWidth="1"/>
    <col min="258" max="258" width="38.42578125" style="1609" customWidth="1"/>
    <col min="259" max="259" width="22.7109375" style="1609" customWidth="1"/>
    <col min="260" max="262" width="11" style="1609" customWidth="1"/>
    <col min="263" max="263" width="15.7109375" style="1609" customWidth="1"/>
    <col min="264" max="512" width="9.140625" style="1609"/>
    <col min="513" max="513" width="4.85546875" style="1609" customWidth="1"/>
    <col min="514" max="514" width="38.42578125" style="1609" customWidth="1"/>
    <col min="515" max="515" width="22.7109375" style="1609" customWidth="1"/>
    <col min="516" max="518" width="11" style="1609" customWidth="1"/>
    <col min="519" max="519" width="15.7109375" style="1609" customWidth="1"/>
    <col min="520" max="768" width="9.140625" style="1609"/>
    <col min="769" max="769" width="4.85546875" style="1609" customWidth="1"/>
    <col min="770" max="770" width="38.42578125" style="1609" customWidth="1"/>
    <col min="771" max="771" width="22.7109375" style="1609" customWidth="1"/>
    <col min="772" max="774" width="11" style="1609" customWidth="1"/>
    <col min="775" max="775" width="15.7109375" style="1609" customWidth="1"/>
    <col min="776" max="1024" width="9.140625" style="1609"/>
    <col min="1025" max="1025" width="4.85546875" style="1609" customWidth="1"/>
    <col min="1026" max="1026" width="38.42578125" style="1609" customWidth="1"/>
    <col min="1027" max="1027" width="22.7109375" style="1609" customWidth="1"/>
    <col min="1028" max="1030" width="11" style="1609" customWidth="1"/>
    <col min="1031" max="1031" width="15.7109375" style="1609" customWidth="1"/>
    <col min="1032" max="1280" width="9.140625" style="1609"/>
    <col min="1281" max="1281" width="4.85546875" style="1609" customWidth="1"/>
    <col min="1282" max="1282" width="38.42578125" style="1609" customWidth="1"/>
    <col min="1283" max="1283" width="22.7109375" style="1609" customWidth="1"/>
    <col min="1284" max="1286" width="11" style="1609" customWidth="1"/>
    <col min="1287" max="1287" width="15.7109375" style="1609" customWidth="1"/>
    <col min="1288" max="1536" width="9.140625" style="1609"/>
    <col min="1537" max="1537" width="4.85546875" style="1609" customWidth="1"/>
    <col min="1538" max="1538" width="38.42578125" style="1609" customWidth="1"/>
    <col min="1539" max="1539" width="22.7109375" style="1609" customWidth="1"/>
    <col min="1540" max="1542" width="11" style="1609" customWidth="1"/>
    <col min="1543" max="1543" width="15.7109375" style="1609" customWidth="1"/>
    <col min="1544" max="1792" width="9.140625" style="1609"/>
    <col min="1793" max="1793" width="4.85546875" style="1609" customWidth="1"/>
    <col min="1794" max="1794" width="38.42578125" style="1609" customWidth="1"/>
    <col min="1795" max="1795" width="22.7109375" style="1609" customWidth="1"/>
    <col min="1796" max="1798" width="11" style="1609" customWidth="1"/>
    <col min="1799" max="1799" width="15.7109375" style="1609" customWidth="1"/>
    <col min="1800" max="2048" width="9.140625" style="1609"/>
    <col min="2049" max="2049" width="4.85546875" style="1609" customWidth="1"/>
    <col min="2050" max="2050" width="38.42578125" style="1609" customWidth="1"/>
    <col min="2051" max="2051" width="22.7109375" style="1609" customWidth="1"/>
    <col min="2052" max="2054" width="11" style="1609" customWidth="1"/>
    <col min="2055" max="2055" width="15.7109375" style="1609" customWidth="1"/>
    <col min="2056" max="2304" width="9.140625" style="1609"/>
    <col min="2305" max="2305" width="4.85546875" style="1609" customWidth="1"/>
    <col min="2306" max="2306" width="38.42578125" style="1609" customWidth="1"/>
    <col min="2307" max="2307" width="22.7109375" style="1609" customWidth="1"/>
    <col min="2308" max="2310" width="11" style="1609" customWidth="1"/>
    <col min="2311" max="2311" width="15.7109375" style="1609" customWidth="1"/>
    <col min="2312" max="2560" width="9.140625" style="1609"/>
    <col min="2561" max="2561" width="4.85546875" style="1609" customWidth="1"/>
    <col min="2562" max="2562" width="38.42578125" style="1609" customWidth="1"/>
    <col min="2563" max="2563" width="22.7109375" style="1609" customWidth="1"/>
    <col min="2564" max="2566" width="11" style="1609" customWidth="1"/>
    <col min="2567" max="2567" width="15.7109375" style="1609" customWidth="1"/>
    <col min="2568" max="2816" width="9.140625" style="1609"/>
    <col min="2817" max="2817" width="4.85546875" style="1609" customWidth="1"/>
    <col min="2818" max="2818" width="38.42578125" style="1609" customWidth="1"/>
    <col min="2819" max="2819" width="22.7109375" style="1609" customWidth="1"/>
    <col min="2820" max="2822" width="11" style="1609" customWidth="1"/>
    <col min="2823" max="2823" width="15.7109375" style="1609" customWidth="1"/>
    <col min="2824" max="3072" width="9.140625" style="1609"/>
    <col min="3073" max="3073" width="4.85546875" style="1609" customWidth="1"/>
    <col min="3074" max="3074" width="38.42578125" style="1609" customWidth="1"/>
    <col min="3075" max="3075" width="22.7109375" style="1609" customWidth="1"/>
    <col min="3076" max="3078" width="11" style="1609" customWidth="1"/>
    <col min="3079" max="3079" width="15.7109375" style="1609" customWidth="1"/>
    <col min="3080" max="3328" width="9.140625" style="1609"/>
    <col min="3329" max="3329" width="4.85546875" style="1609" customWidth="1"/>
    <col min="3330" max="3330" width="38.42578125" style="1609" customWidth="1"/>
    <col min="3331" max="3331" width="22.7109375" style="1609" customWidth="1"/>
    <col min="3332" max="3334" width="11" style="1609" customWidth="1"/>
    <col min="3335" max="3335" width="15.7109375" style="1609" customWidth="1"/>
    <col min="3336" max="3584" width="9.140625" style="1609"/>
    <col min="3585" max="3585" width="4.85546875" style="1609" customWidth="1"/>
    <col min="3586" max="3586" width="38.42578125" style="1609" customWidth="1"/>
    <col min="3587" max="3587" width="22.7109375" style="1609" customWidth="1"/>
    <col min="3588" max="3590" width="11" style="1609" customWidth="1"/>
    <col min="3591" max="3591" width="15.7109375" style="1609" customWidth="1"/>
    <col min="3592" max="3840" width="9.140625" style="1609"/>
    <col min="3841" max="3841" width="4.85546875" style="1609" customWidth="1"/>
    <col min="3842" max="3842" width="38.42578125" style="1609" customWidth="1"/>
    <col min="3843" max="3843" width="22.7109375" style="1609" customWidth="1"/>
    <col min="3844" max="3846" width="11" style="1609" customWidth="1"/>
    <col min="3847" max="3847" width="15.7109375" style="1609" customWidth="1"/>
    <col min="3848" max="4096" width="9.140625" style="1609"/>
    <col min="4097" max="4097" width="4.85546875" style="1609" customWidth="1"/>
    <col min="4098" max="4098" width="38.42578125" style="1609" customWidth="1"/>
    <col min="4099" max="4099" width="22.7109375" style="1609" customWidth="1"/>
    <col min="4100" max="4102" width="11" style="1609" customWidth="1"/>
    <col min="4103" max="4103" width="15.7109375" style="1609" customWidth="1"/>
    <col min="4104" max="4352" width="9.140625" style="1609"/>
    <col min="4353" max="4353" width="4.85546875" style="1609" customWidth="1"/>
    <col min="4354" max="4354" width="38.42578125" style="1609" customWidth="1"/>
    <col min="4355" max="4355" width="22.7109375" style="1609" customWidth="1"/>
    <col min="4356" max="4358" width="11" style="1609" customWidth="1"/>
    <col min="4359" max="4359" width="15.7109375" style="1609" customWidth="1"/>
    <col min="4360" max="4608" width="9.140625" style="1609"/>
    <col min="4609" max="4609" width="4.85546875" style="1609" customWidth="1"/>
    <col min="4610" max="4610" width="38.42578125" style="1609" customWidth="1"/>
    <col min="4611" max="4611" width="22.7109375" style="1609" customWidth="1"/>
    <col min="4612" max="4614" width="11" style="1609" customWidth="1"/>
    <col min="4615" max="4615" width="15.7109375" style="1609" customWidth="1"/>
    <col min="4616" max="4864" width="9.140625" style="1609"/>
    <col min="4865" max="4865" width="4.85546875" style="1609" customWidth="1"/>
    <col min="4866" max="4866" width="38.42578125" style="1609" customWidth="1"/>
    <col min="4867" max="4867" width="22.7109375" style="1609" customWidth="1"/>
    <col min="4868" max="4870" width="11" style="1609" customWidth="1"/>
    <col min="4871" max="4871" width="15.7109375" style="1609" customWidth="1"/>
    <col min="4872" max="5120" width="9.140625" style="1609"/>
    <col min="5121" max="5121" width="4.85546875" style="1609" customWidth="1"/>
    <col min="5122" max="5122" width="38.42578125" style="1609" customWidth="1"/>
    <col min="5123" max="5123" width="22.7109375" style="1609" customWidth="1"/>
    <col min="5124" max="5126" width="11" style="1609" customWidth="1"/>
    <col min="5127" max="5127" width="15.7109375" style="1609" customWidth="1"/>
    <col min="5128" max="5376" width="9.140625" style="1609"/>
    <col min="5377" max="5377" width="4.85546875" style="1609" customWidth="1"/>
    <col min="5378" max="5378" width="38.42578125" style="1609" customWidth="1"/>
    <col min="5379" max="5379" width="22.7109375" style="1609" customWidth="1"/>
    <col min="5380" max="5382" width="11" style="1609" customWidth="1"/>
    <col min="5383" max="5383" width="15.7109375" style="1609" customWidth="1"/>
    <col min="5384" max="5632" width="9.140625" style="1609"/>
    <col min="5633" max="5633" width="4.85546875" style="1609" customWidth="1"/>
    <col min="5634" max="5634" width="38.42578125" style="1609" customWidth="1"/>
    <col min="5635" max="5635" width="22.7109375" style="1609" customWidth="1"/>
    <col min="5636" max="5638" width="11" style="1609" customWidth="1"/>
    <col min="5639" max="5639" width="15.7109375" style="1609" customWidth="1"/>
    <col min="5640" max="5888" width="9.140625" style="1609"/>
    <col min="5889" max="5889" width="4.85546875" style="1609" customWidth="1"/>
    <col min="5890" max="5890" width="38.42578125" style="1609" customWidth="1"/>
    <col min="5891" max="5891" width="22.7109375" style="1609" customWidth="1"/>
    <col min="5892" max="5894" width="11" style="1609" customWidth="1"/>
    <col min="5895" max="5895" width="15.7109375" style="1609" customWidth="1"/>
    <col min="5896" max="6144" width="9.140625" style="1609"/>
    <col min="6145" max="6145" width="4.85546875" style="1609" customWidth="1"/>
    <col min="6146" max="6146" width="38.42578125" style="1609" customWidth="1"/>
    <col min="6147" max="6147" width="22.7109375" style="1609" customWidth="1"/>
    <col min="6148" max="6150" width="11" style="1609" customWidth="1"/>
    <col min="6151" max="6151" width="15.7109375" style="1609" customWidth="1"/>
    <col min="6152" max="6400" width="9.140625" style="1609"/>
    <col min="6401" max="6401" width="4.85546875" style="1609" customWidth="1"/>
    <col min="6402" max="6402" width="38.42578125" style="1609" customWidth="1"/>
    <col min="6403" max="6403" width="22.7109375" style="1609" customWidth="1"/>
    <col min="6404" max="6406" width="11" style="1609" customWidth="1"/>
    <col min="6407" max="6407" width="15.7109375" style="1609" customWidth="1"/>
    <col min="6408" max="6656" width="9.140625" style="1609"/>
    <col min="6657" max="6657" width="4.85546875" style="1609" customWidth="1"/>
    <col min="6658" max="6658" width="38.42578125" style="1609" customWidth="1"/>
    <col min="6659" max="6659" width="22.7109375" style="1609" customWidth="1"/>
    <col min="6660" max="6662" width="11" style="1609" customWidth="1"/>
    <col min="6663" max="6663" width="15.7109375" style="1609" customWidth="1"/>
    <col min="6664" max="6912" width="9.140625" style="1609"/>
    <col min="6913" max="6913" width="4.85546875" style="1609" customWidth="1"/>
    <col min="6914" max="6914" width="38.42578125" style="1609" customWidth="1"/>
    <col min="6915" max="6915" width="22.7109375" style="1609" customWidth="1"/>
    <col min="6916" max="6918" width="11" style="1609" customWidth="1"/>
    <col min="6919" max="6919" width="15.7109375" style="1609" customWidth="1"/>
    <col min="6920" max="7168" width="9.140625" style="1609"/>
    <col min="7169" max="7169" width="4.85546875" style="1609" customWidth="1"/>
    <col min="7170" max="7170" width="38.42578125" style="1609" customWidth="1"/>
    <col min="7171" max="7171" width="22.7109375" style="1609" customWidth="1"/>
    <col min="7172" max="7174" width="11" style="1609" customWidth="1"/>
    <col min="7175" max="7175" width="15.7109375" style="1609" customWidth="1"/>
    <col min="7176" max="7424" width="9.140625" style="1609"/>
    <col min="7425" max="7425" width="4.85546875" style="1609" customWidth="1"/>
    <col min="7426" max="7426" width="38.42578125" style="1609" customWidth="1"/>
    <col min="7427" max="7427" width="22.7109375" style="1609" customWidth="1"/>
    <col min="7428" max="7430" width="11" style="1609" customWidth="1"/>
    <col min="7431" max="7431" width="15.7109375" style="1609" customWidth="1"/>
    <col min="7432" max="7680" width="9.140625" style="1609"/>
    <col min="7681" max="7681" width="4.85546875" style="1609" customWidth="1"/>
    <col min="7682" max="7682" width="38.42578125" style="1609" customWidth="1"/>
    <col min="7683" max="7683" width="22.7109375" style="1609" customWidth="1"/>
    <col min="7684" max="7686" width="11" style="1609" customWidth="1"/>
    <col min="7687" max="7687" width="15.7109375" style="1609" customWidth="1"/>
    <col min="7688" max="7936" width="9.140625" style="1609"/>
    <col min="7937" max="7937" width="4.85546875" style="1609" customWidth="1"/>
    <col min="7938" max="7938" width="38.42578125" style="1609" customWidth="1"/>
    <col min="7939" max="7939" width="22.7109375" style="1609" customWidth="1"/>
    <col min="7940" max="7942" width="11" style="1609" customWidth="1"/>
    <col min="7943" max="7943" width="15.7109375" style="1609" customWidth="1"/>
    <col min="7944" max="8192" width="9.140625" style="1609"/>
    <col min="8193" max="8193" width="4.85546875" style="1609" customWidth="1"/>
    <col min="8194" max="8194" width="38.42578125" style="1609" customWidth="1"/>
    <col min="8195" max="8195" width="22.7109375" style="1609" customWidth="1"/>
    <col min="8196" max="8198" width="11" style="1609" customWidth="1"/>
    <col min="8199" max="8199" width="15.7109375" style="1609" customWidth="1"/>
    <col min="8200" max="8448" width="9.140625" style="1609"/>
    <col min="8449" max="8449" width="4.85546875" style="1609" customWidth="1"/>
    <col min="8450" max="8450" width="38.42578125" style="1609" customWidth="1"/>
    <col min="8451" max="8451" width="22.7109375" style="1609" customWidth="1"/>
    <col min="8452" max="8454" width="11" style="1609" customWidth="1"/>
    <col min="8455" max="8455" width="15.7109375" style="1609" customWidth="1"/>
    <col min="8456" max="8704" width="9.140625" style="1609"/>
    <col min="8705" max="8705" width="4.85546875" style="1609" customWidth="1"/>
    <col min="8706" max="8706" width="38.42578125" style="1609" customWidth="1"/>
    <col min="8707" max="8707" width="22.7109375" style="1609" customWidth="1"/>
    <col min="8708" max="8710" width="11" style="1609" customWidth="1"/>
    <col min="8711" max="8711" width="15.7109375" style="1609" customWidth="1"/>
    <col min="8712" max="8960" width="9.140625" style="1609"/>
    <col min="8961" max="8961" width="4.85546875" style="1609" customWidth="1"/>
    <col min="8962" max="8962" width="38.42578125" style="1609" customWidth="1"/>
    <col min="8963" max="8963" width="22.7109375" style="1609" customWidth="1"/>
    <col min="8964" max="8966" width="11" style="1609" customWidth="1"/>
    <col min="8967" max="8967" width="15.7109375" style="1609" customWidth="1"/>
    <col min="8968" max="9216" width="9.140625" style="1609"/>
    <col min="9217" max="9217" width="4.85546875" style="1609" customWidth="1"/>
    <col min="9218" max="9218" width="38.42578125" style="1609" customWidth="1"/>
    <col min="9219" max="9219" width="22.7109375" style="1609" customWidth="1"/>
    <col min="9220" max="9222" width="11" style="1609" customWidth="1"/>
    <col min="9223" max="9223" width="15.7109375" style="1609" customWidth="1"/>
    <col min="9224" max="9472" width="9.140625" style="1609"/>
    <col min="9473" max="9473" width="4.85546875" style="1609" customWidth="1"/>
    <col min="9474" max="9474" width="38.42578125" style="1609" customWidth="1"/>
    <col min="9475" max="9475" width="22.7109375" style="1609" customWidth="1"/>
    <col min="9476" max="9478" width="11" style="1609" customWidth="1"/>
    <col min="9479" max="9479" width="15.7109375" style="1609" customWidth="1"/>
    <col min="9480" max="9728" width="9.140625" style="1609"/>
    <col min="9729" max="9729" width="4.85546875" style="1609" customWidth="1"/>
    <col min="9730" max="9730" width="38.42578125" style="1609" customWidth="1"/>
    <col min="9731" max="9731" width="22.7109375" style="1609" customWidth="1"/>
    <col min="9732" max="9734" width="11" style="1609" customWidth="1"/>
    <col min="9735" max="9735" width="15.7109375" style="1609" customWidth="1"/>
    <col min="9736" max="9984" width="9.140625" style="1609"/>
    <col min="9985" max="9985" width="4.85546875" style="1609" customWidth="1"/>
    <col min="9986" max="9986" width="38.42578125" style="1609" customWidth="1"/>
    <col min="9987" max="9987" width="22.7109375" style="1609" customWidth="1"/>
    <col min="9988" max="9990" width="11" style="1609" customWidth="1"/>
    <col min="9991" max="9991" width="15.7109375" style="1609" customWidth="1"/>
    <col min="9992" max="10240" width="9.140625" style="1609"/>
    <col min="10241" max="10241" width="4.85546875" style="1609" customWidth="1"/>
    <col min="10242" max="10242" width="38.42578125" style="1609" customWidth="1"/>
    <col min="10243" max="10243" width="22.7109375" style="1609" customWidth="1"/>
    <col min="10244" max="10246" width="11" style="1609" customWidth="1"/>
    <col min="10247" max="10247" width="15.7109375" style="1609" customWidth="1"/>
    <col min="10248" max="10496" width="9.140625" style="1609"/>
    <col min="10497" max="10497" width="4.85546875" style="1609" customWidth="1"/>
    <col min="10498" max="10498" width="38.42578125" style="1609" customWidth="1"/>
    <col min="10499" max="10499" width="22.7109375" style="1609" customWidth="1"/>
    <col min="10500" max="10502" width="11" style="1609" customWidth="1"/>
    <col min="10503" max="10503" width="15.7109375" style="1609" customWidth="1"/>
    <col min="10504" max="10752" width="9.140625" style="1609"/>
    <col min="10753" max="10753" width="4.85546875" style="1609" customWidth="1"/>
    <col min="10754" max="10754" width="38.42578125" style="1609" customWidth="1"/>
    <col min="10755" max="10755" width="22.7109375" style="1609" customWidth="1"/>
    <col min="10756" max="10758" width="11" style="1609" customWidth="1"/>
    <col min="10759" max="10759" width="15.7109375" style="1609" customWidth="1"/>
    <col min="10760" max="11008" width="9.140625" style="1609"/>
    <col min="11009" max="11009" width="4.85546875" style="1609" customWidth="1"/>
    <col min="11010" max="11010" width="38.42578125" style="1609" customWidth="1"/>
    <col min="11011" max="11011" width="22.7109375" style="1609" customWidth="1"/>
    <col min="11012" max="11014" width="11" style="1609" customWidth="1"/>
    <col min="11015" max="11015" width="15.7109375" style="1609" customWidth="1"/>
    <col min="11016" max="11264" width="9.140625" style="1609"/>
    <col min="11265" max="11265" width="4.85546875" style="1609" customWidth="1"/>
    <col min="11266" max="11266" width="38.42578125" style="1609" customWidth="1"/>
    <col min="11267" max="11267" width="22.7109375" style="1609" customWidth="1"/>
    <col min="11268" max="11270" width="11" style="1609" customWidth="1"/>
    <col min="11271" max="11271" width="15.7109375" style="1609" customWidth="1"/>
    <col min="11272" max="11520" width="9.140625" style="1609"/>
    <col min="11521" max="11521" width="4.85546875" style="1609" customWidth="1"/>
    <col min="11522" max="11522" width="38.42578125" style="1609" customWidth="1"/>
    <col min="11523" max="11523" width="22.7109375" style="1609" customWidth="1"/>
    <col min="11524" max="11526" width="11" style="1609" customWidth="1"/>
    <col min="11527" max="11527" width="15.7109375" style="1609" customWidth="1"/>
    <col min="11528" max="11776" width="9.140625" style="1609"/>
    <col min="11777" max="11777" width="4.85546875" style="1609" customWidth="1"/>
    <col min="11778" max="11778" width="38.42578125" style="1609" customWidth="1"/>
    <col min="11779" max="11779" width="22.7109375" style="1609" customWidth="1"/>
    <col min="11780" max="11782" width="11" style="1609" customWidth="1"/>
    <col min="11783" max="11783" width="15.7109375" style="1609" customWidth="1"/>
    <col min="11784" max="12032" width="9.140625" style="1609"/>
    <col min="12033" max="12033" width="4.85546875" style="1609" customWidth="1"/>
    <col min="12034" max="12034" width="38.42578125" style="1609" customWidth="1"/>
    <col min="12035" max="12035" width="22.7109375" style="1609" customWidth="1"/>
    <col min="12036" max="12038" width="11" style="1609" customWidth="1"/>
    <col min="12039" max="12039" width="15.7109375" style="1609" customWidth="1"/>
    <col min="12040" max="12288" width="9.140625" style="1609"/>
    <col min="12289" max="12289" width="4.85546875" style="1609" customWidth="1"/>
    <col min="12290" max="12290" width="38.42578125" style="1609" customWidth="1"/>
    <col min="12291" max="12291" width="22.7109375" style="1609" customWidth="1"/>
    <col min="12292" max="12294" width="11" style="1609" customWidth="1"/>
    <col min="12295" max="12295" width="15.7109375" style="1609" customWidth="1"/>
    <col min="12296" max="12544" width="9.140625" style="1609"/>
    <col min="12545" max="12545" width="4.85546875" style="1609" customWidth="1"/>
    <col min="12546" max="12546" width="38.42578125" style="1609" customWidth="1"/>
    <col min="12547" max="12547" width="22.7109375" style="1609" customWidth="1"/>
    <col min="12548" max="12550" width="11" style="1609" customWidth="1"/>
    <col min="12551" max="12551" width="15.7109375" style="1609" customWidth="1"/>
    <col min="12552" max="12800" width="9.140625" style="1609"/>
    <col min="12801" max="12801" width="4.85546875" style="1609" customWidth="1"/>
    <col min="12802" max="12802" width="38.42578125" style="1609" customWidth="1"/>
    <col min="12803" max="12803" width="22.7109375" style="1609" customWidth="1"/>
    <col min="12804" max="12806" width="11" style="1609" customWidth="1"/>
    <col min="12807" max="12807" width="15.7109375" style="1609" customWidth="1"/>
    <col min="12808" max="13056" width="9.140625" style="1609"/>
    <col min="13057" max="13057" width="4.85546875" style="1609" customWidth="1"/>
    <col min="13058" max="13058" width="38.42578125" style="1609" customWidth="1"/>
    <col min="13059" max="13059" width="22.7109375" style="1609" customWidth="1"/>
    <col min="13060" max="13062" width="11" style="1609" customWidth="1"/>
    <col min="13063" max="13063" width="15.7109375" style="1609" customWidth="1"/>
    <col min="13064" max="13312" width="9.140625" style="1609"/>
    <col min="13313" max="13313" width="4.85546875" style="1609" customWidth="1"/>
    <col min="13314" max="13314" width="38.42578125" style="1609" customWidth="1"/>
    <col min="13315" max="13315" width="22.7109375" style="1609" customWidth="1"/>
    <col min="13316" max="13318" width="11" style="1609" customWidth="1"/>
    <col min="13319" max="13319" width="15.7109375" style="1609" customWidth="1"/>
    <col min="13320" max="13568" width="9.140625" style="1609"/>
    <col min="13569" max="13569" width="4.85546875" style="1609" customWidth="1"/>
    <col min="13570" max="13570" width="38.42578125" style="1609" customWidth="1"/>
    <col min="13571" max="13571" width="22.7109375" style="1609" customWidth="1"/>
    <col min="13572" max="13574" width="11" style="1609" customWidth="1"/>
    <col min="13575" max="13575" width="15.7109375" style="1609" customWidth="1"/>
    <col min="13576" max="13824" width="9.140625" style="1609"/>
    <col min="13825" max="13825" width="4.85546875" style="1609" customWidth="1"/>
    <col min="13826" max="13826" width="38.42578125" style="1609" customWidth="1"/>
    <col min="13827" max="13827" width="22.7109375" style="1609" customWidth="1"/>
    <col min="13828" max="13830" width="11" style="1609" customWidth="1"/>
    <col min="13831" max="13831" width="15.7109375" style="1609" customWidth="1"/>
    <col min="13832" max="14080" width="9.140625" style="1609"/>
    <col min="14081" max="14081" width="4.85546875" style="1609" customWidth="1"/>
    <col min="14082" max="14082" width="38.42578125" style="1609" customWidth="1"/>
    <col min="14083" max="14083" width="22.7109375" style="1609" customWidth="1"/>
    <col min="14084" max="14086" width="11" style="1609" customWidth="1"/>
    <col min="14087" max="14087" width="15.7109375" style="1609" customWidth="1"/>
    <col min="14088" max="14336" width="9.140625" style="1609"/>
    <col min="14337" max="14337" width="4.85546875" style="1609" customWidth="1"/>
    <col min="14338" max="14338" width="38.42578125" style="1609" customWidth="1"/>
    <col min="14339" max="14339" width="22.7109375" style="1609" customWidth="1"/>
    <col min="14340" max="14342" width="11" style="1609" customWidth="1"/>
    <col min="14343" max="14343" width="15.7109375" style="1609" customWidth="1"/>
    <col min="14344" max="14592" width="9.140625" style="1609"/>
    <col min="14593" max="14593" width="4.85546875" style="1609" customWidth="1"/>
    <col min="14594" max="14594" width="38.42578125" style="1609" customWidth="1"/>
    <col min="14595" max="14595" width="22.7109375" style="1609" customWidth="1"/>
    <col min="14596" max="14598" width="11" style="1609" customWidth="1"/>
    <col min="14599" max="14599" width="15.7109375" style="1609" customWidth="1"/>
    <col min="14600" max="14848" width="9.140625" style="1609"/>
    <col min="14849" max="14849" width="4.85546875" style="1609" customWidth="1"/>
    <col min="14850" max="14850" width="38.42578125" style="1609" customWidth="1"/>
    <col min="14851" max="14851" width="22.7109375" style="1609" customWidth="1"/>
    <col min="14852" max="14854" width="11" style="1609" customWidth="1"/>
    <col min="14855" max="14855" width="15.7109375" style="1609" customWidth="1"/>
    <col min="14856" max="15104" width="9.140625" style="1609"/>
    <col min="15105" max="15105" width="4.85546875" style="1609" customWidth="1"/>
    <col min="15106" max="15106" width="38.42578125" style="1609" customWidth="1"/>
    <col min="15107" max="15107" width="22.7109375" style="1609" customWidth="1"/>
    <col min="15108" max="15110" width="11" style="1609" customWidth="1"/>
    <col min="15111" max="15111" width="15.7109375" style="1609" customWidth="1"/>
    <col min="15112" max="15360" width="9.140625" style="1609"/>
    <col min="15361" max="15361" width="4.85546875" style="1609" customWidth="1"/>
    <col min="15362" max="15362" width="38.42578125" style="1609" customWidth="1"/>
    <col min="15363" max="15363" width="22.7109375" style="1609" customWidth="1"/>
    <col min="15364" max="15366" width="11" style="1609" customWidth="1"/>
    <col min="15367" max="15367" width="15.7109375" style="1609" customWidth="1"/>
    <col min="15368" max="15616" width="9.140625" style="1609"/>
    <col min="15617" max="15617" width="4.85546875" style="1609" customWidth="1"/>
    <col min="15618" max="15618" width="38.42578125" style="1609" customWidth="1"/>
    <col min="15619" max="15619" width="22.7109375" style="1609" customWidth="1"/>
    <col min="15620" max="15622" width="11" style="1609" customWidth="1"/>
    <col min="15623" max="15623" width="15.7109375" style="1609" customWidth="1"/>
    <col min="15624" max="15872" width="9.140625" style="1609"/>
    <col min="15873" max="15873" width="4.85546875" style="1609" customWidth="1"/>
    <col min="15874" max="15874" width="38.42578125" style="1609" customWidth="1"/>
    <col min="15875" max="15875" width="22.7109375" style="1609" customWidth="1"/>
    <col min="15876" max="15878" width="11" style="1609" customWidth="1"/>
    <col min="15879" max="15879" width="15.7109375" style="1609" customWidth="1"/>
    <col min="15880" max="16128" width="9.140625" style="1609"/>
    <col min="16129" max="16129" width="4.85546875" style="1609" customWidth="1"/>
    <col min="16130" max="16130" width="38.42578125" style="1609" customWidth="1"/>
    <col min="16131" max="16131" width="22.7109375" style="1609" customWidth="1"/>
    <col min="16132" max="16134" width="11" style="1609" customWidth="1"/>
    <col min="16135" max="16135" width="15.7109375" style="1609" customWidth="1"/>
    <col min="16136" max="16384" width="9.140625" style="1609"/>
  </cols>
  <sheetData>
    <row r="1" spans="1:231" s="1603" customFormat="1" ht="18" customHeight="1" x14ac:dyDescent="0.2">
      <c r="E1" s="484"/>
      <c r="G1" s="1604"/>
    </row>
    <row r="2" spans="1:231" s="1279" customFormat="1" ht="18" customHeight="1" x14ac:dyDescent="0.2">
      <c r="A2" s="1603"/>
      <c r="B2" s="1603"/>
      <c r="C2" s="1603"/>
      <c r="E2" s="484"/>
      <c r="G2" s="1605"/>
    </row>
    <row r="3" spans="1:231" s="1603" customFormat="1" ht="18" customHeight="1" x14ac:dyDescent="0.2">
      <c r="E3" s="484"/>
      <c r="G3" s="1605"/>
    </row>
    <row r="4" spans="1:231" ht="15.75" x14ac:dyDescent="0.2">
      <c r="A4" s="1606"/>
      <c r="B4" s="1606"/>
      <c r="C4" s="1606"/>
      <c r="D4" s="1607"/>
      <c r="E4" s="1606"/>
      <c r="F4" s="1608"/>
      <c r="G4" s="1606"/>
    </row>
    <row r="5" spans="1:231" ht="16.5" x14ac:dyDescent="0.2">
      <c r="A5" s="2270" t="s">
        <v>689</v>
      </c>
      <c r="B5" s="2270"/>
      <c r="C5" s="2270"/>
      <c r="D5" s="2270"/>
      <c r="E5" s="2270"/>
      <c r="F5" s="2270"/>
      <c r="G5" s="2270"/>
    </row>
    <row r="6" spans="1:231" s="1611" customFormat="1" ht="27.75" hidden="1" customHeight="1" x14ac:dyDescent="0.2">
      <c r="A6" s="2271" t="s">
        <v>684</v>
      </c>
      <c r="B6" s="2271"/>
      <c r="C6" s="2271"/>
      <c r="D6" s="2271"/>
      <c r="E6" s="2271"/>
      <c r="F6" s="2271"/>
      <c r="G6" s="2271"/>
      <c r="H6" s="1610"/>
      <c r="I6" s="1610"/>
      <c r="J6" s="1610"/>
      <c r="K6" s="1610"/>
      <c r="L6" s="1610"/>
      <c r="M6" s="1610"/>
      <c r="N6" s="1610"/>
      <c r="O6" s="1610"/>
      <c r="P6" s="1610"/>
      <c r="Q6" s="1610"/>
      <c r="R6" s="1610"/>
      <c r="S6" s="1610"/>
      <c r="T6" s="1610"/>
      <c r="U6" s="1610"/>
      <c r="V6" s="1610"/>
      <c r="W6" s="1610"/>
      <c r="X6" s="1610"/>
      <c r="Y6" s="1610"/>
      <c r="Z6" s="1610"/>
      <c r="AA6" s="1610"/>
      <c r="AB6" s="1610"/>
      <c r="AC6" s="1610"/>
      <c r="AD6" s="1610"/>
      <c r="AE6" s="1610"/>
      <c r="AF6" s="1610"/>
      <c r="AG6" s="1610"/>
      <c r="AH6" s="1610"/>
      <c r="AI6" s="1610"/>
      <c r="AJ6" s="1610"/>
      <c r="AK6" s="1610"/>
      <c r="AL6" s="1610"/>
      <c r="AM6" s="1610"/>
      <c r="AN6" s="1610"/>
      <c r="AO6" s="1610"/>
      <c r="AP6" s="1610"/>
      <c r="AQ6" s="1610"/>
      <c r="AR6" s="1610"/>
      <c r="AS6" s="1610"/>
      <c r="AT6" s="1610"/>
      <c r="AU6" s="1610"/>
      <c r="AV6" s="1610"/>
      <c r="AW6" s="1610"/>
      <c r="AX6" s="1610"/>
      <c r="AY6" s="1610"/>
      <c r="AZ6" s="1610"/>
      <c r="BA6" s="1610"/>
      <c r="BB6" s="1610"/>
      <c r="BC6" s="1610"/>
      <c r="BD6" s="1610"/>
      <c r="BE6" s="1610"/>
      <c r="BF6" s="1610"/>
      <c r="BG6" s="1610"/>
      <c r="BH6" s="1610"/>
      <c r="BI6" s="1610"/>
      <c r="BJ6" s="1610"/>
      <c r="BK6" s="1610"/>
      <c r="BL6" s="1610"/>
      <c r="BM6" s="1610"/>
      <c r="BN6" s="1610"/>
      <c r="BO6" s="1610"/>
      <c r="BP6" s="1610"/>
      <c r="BQ6" s="1610"/>
      <c r="BR6" s="1610"/>
      <c r="BS6" s="1610"/>
      <c r="BT6" s="1610"/>
      <c r="BU6" s="1610"/>
      <c r="BV6" s="1610"/>
      <c r="BW6" s="1610"/>
      <c r="BX6" s="1610"/>
      <c r="BY6" s="1610"/>
      <c r="BZ6" s="1610"/>
      <c r="CA6" s="1610"/>
      <c r="CB6" s="1610"/>
      <c r="CC6" s="1610"/>
      <c r="CD6" s="1610"/>
      <c r="CE6" s="1610"/>
      <c r="CF6" s="1610"/>
      <c r="CG6" s="1610"/>
      <c r="CH6" s="1610"/>
      <c r="CI6" s="1610"/>
      <c r="CJ6" s="1610"/>
      <c r="CK6" s="1610"/>
      <c r="CL6" s="1610"/>
      <c r="CM6" s="1610"/>
      <c r="CN6" s="1610"/>
      <c r="CO6" s="1610"/>
      <c r="CP6" s="1610"/>
      <c r="CQ6" s="1610"/>
      <c r="CR6" s="1610"/>
      <c r="CS6" s="1610"/>
      <c r="CT6" s="1610"/>
      <c r="CU6" s="1610"/>
      <c r="CV6" s="1610"/>
      <c r="CW6" s="1610"/>
      <c r="CX6" s="1610"/>
      <c r="CY6" s="1610"/>
      <c r="CZ6" s="1610"/>
      <c r="DA6" s="1610"/>
      <c r="DB6" s="1610"/>
      <c r="DC6" s="1610"/>
      <c r="DD6" s="1610"/>
      <c r="DE6" s="1610"/>
      <c r="DF6" s="1610"/>
      <c r="DG6" s="1610"/>
      <c r="DH6" s="1610"/>
      <c r="DI6" s="1610"/>
      <c r="DJ6" s="1610"/>
      <c r="DK6" s="1610"/>
      <c r="DL6" s="1610"/>
      <c r="DM6" s="1610"/>
      <c r="DN6" s="1610"/>
      <c r="DO6" s="1610"/>
      <c r="DP6" s="1610"/>
      <c r="DQ6" s="1610"/>
      <c r="DR6" s="1610"/>
      <c r="DS6" s="1610"/>
      <c r="DT6" s="1610"/>
      <c r="DU6" s="1610"/>
      <c r="DV6" s="1610"/>
      <c r="DW6" s="1610"/>
      <c r="DX6" s="1610"/>
      <c r="DY6" s="1610"/>
      <c r="DZ6" s="1610"/>
      <c r="EA6" s="1610"/>
      <c r="EB6" s="1610"/>
      <c r="EC6" s="1610"/>
      <c r="ED6" s="1610"/>
      <c r="EE6" s="1610"/>
      <c r="EF6" s="1610"/>
      <c r="EG6" s="1610"/>
      <c r="EH6" s="1610"/>
      <c r="EI6" s="1610"/>
      <c r="EJ6" s="1610"/>
      <c r="EK6" s="1610"/>
      <c r="EL6" s="1610"/>
      <c r="EM6" s="1610"/>
      <c r="EN6" s="1610"/>
      <c r="EO6" s="1610"/>
      <c r="EP6" s="1610"/>
      <c r="EQ6" s="1610"/>
      <c r="ER6" s="1610"/>
      <c r="ES6" s="1610"/>
      <c r="ET6" s="1610"/>
      <c r="EU6" s="1610"/>
      <c r="EV6" s="1610"/>
      <c r="EW6" s="1610"/>
      <c r="EX6" s="1610"/>
      <c r="EY6" s="1610"/>
      <c r="EZ6" s="1610"/>
      <c r="FA6" s="1610"/>
      <c r="FB6" s="1610"/>
      <c r="FC6" s="1610"/>
      <c r="FD6" s="1610"/>
      <c r="FE6" s="1610"/>
      <c r="FF6" s="1610"/>
      <c r="FG6" s="1610"/>
      <c r="FH6" s="1610"/>
      <c r="FI6" s="1610"/>
      <c r="FJ6" s="1610"/>
      <c r="FK6" s="1610"/>
      <c r="FL6" s="1610"/>
      <c r="FM6" s="1610"/>
      <c r="FN6" s="1610"/>
      <c r="FO6" s="1610"/>
      <c r="FP6" s="1610"/>
      <c r="FQ6" s="1610"/>
      <c r="FR6" s="1610"/>
      <c r="FS6" s="1610"/>
      <c r="FT6" s="1610"/>
      <c r="FU6" s="1610"/>
      <c r="FV6" s="1610"/>
      <c r="FW6" s="1610"/>
      <c r="FX6" s="1610"/>
      <c r="FY6" s="1610"/>
      <c r="FZ6" s="1610"/>
      <c r="GA6" s="1610"/>
      <c r="GB6" s="1610"/>
      <c r="GC6" s="1610"/>
      <c r="GD6" s="1610"/>
      <c r="GE6" s="1610"/>
      <c r="GF6" s="1610"/>
      <c r="GG6" s="1610"/>
      <c r="GH6" s="1610"/>
      <c r="GI6" s="1610"/>
      <c r="GJ6" s="1610"/>
      <c r="GK6" s="1610"/>
      <c r="GL6" s="1610"/>
      <c r="GM6" s="1610"/>
      <c r="GN6" s="1610"/>
      <c r="GO6" s="1610"/>
      <c r="GP6" s="1610"/>
      <c r="GQ6" s="1610"/>
      <c r="GR6" s="1610"/>
      <c r="GS6" s="1610"/>
      <c r="GT6" s="1610"/>
      <c r="GU6" s="1610"/>
      <c r="GV6" s="1610"/>
      <c r="GW6" s="1610"/>
      <c r="GX6" s="1610"/>
      <c r="GY6" s="1610"/>
      <c r="GZ6" s="1610"/>
      <c r="HA6" s="1610"/>
      <c r="HB6" s="1610"/>
      <c r="HC6" s="1610"/>
      <c r="HD6" s="1610"/>
      <c r="HE6" s="1610"/>
      <c r="HF6" s="1610"/>
      <c r="HG6" s="1610"/>
      <c r="HH6" s="1610"/>
      <c r="HI6" s="1610"/>
      <c r="HJ6" s="1610"/>
      <c r="HK6" s="1610"/>
      <c r="HL6" s="1610"/>
      <c r="HM6" s="1610"/>
      <c r="HN6" s="1610"/>
      <c r="HO6" s="1610"/>
      <c r="HP6" s="1610"/>
      <c r="HQ6" s="1610"/>
      <c r="HR6" s="1610"/>
      <c r="HS6" s="1610"/>
      <c r="HT6" s="1610"/>
      <c r="HU6" s="1610"/>
      <c r="HV6" s="1610"/>
      <c r="HW6" s="1610"/>
    </row>
    <row r="7" spans="1:231" s="41" customFormat="1" ht="23.25" customHeight="1" x14ac:dyDescent="0.2">
      <c r="A7" s="2259" t="str">
        <f>' ССР (нов)'!A6:G6</f>
        <v xml:space="preserve">Реконструкция теплового ввода </v>
      </c>
      <c r="B7" s="2260"/>
      <c r="C7" s="2260"/>
      <c r="D7" s="2260"/>
      <c r="E7" s="2260"/>
      <c r="F7" s="2260"/>
      <c r="G7" s="2260"/>
      <c r="H7" s="42"/>
    </row>
    <row r="8" spans="1:231" s="41" customFormat="1" ht="30" customHeight="1" x14ac:dyDescent="0.2">
      <c r="A8" s="2264" t="str">
        <f>' ССР (нов)'!A7:G7</f>
        <v>г. Москва , ул. Мневники д.4</v>
      </c>
      <c r="B8" s="2263"/>
      <c r="C8" s="2263"/>
      <c r="D8" s="2263"/>
      <c r="E8" s="2263"/>
      <c r="F8" s="2263"/>
      <c r="G8" s="2263"/>
    </row>
    <row r="9" spans="1:231" s="1611" customFormat="1" ht="27.75" customHeight="1" x14ac:dyDescent="0.2">
      <c r="A9" s="2271" t="s">
        <v>684</v>
      </c>
      <c r="B9" s="2271"/>
      <c r="C9" s="2271"/>
      <c r="D9" s="2271"/>
      <c r="E9" s="2271"/>
      <c r="F9" s="2271"/>
      <c r="G9" s="2271"/>
      <c r="H9" s="1610"/>
      <c r="I9" s="1610"/>
      <c r="J9" s="1610"/>
      <c r="K9" s="1610"/>
      <c r="L9" s="1610"/>
      <c r="M9" s="1610"/>
      <c r="N9" s="1610"/>
      <c r="O9" s="1610"/>
      <c r="P9" s="1610"/>
      <c r="Q9" s="1610"/>
      <c r="R9" s="1610"/>
      <c r="S9" s="1610"/>
      <c r="T9" s="1610"/>
      <c r="U9" s="1610"/>
      <c r="V9" s="1610"/>
      <c r="W9" s="1610"/>
      <c r="X9" s="1610"/>
      <c r="Y9" s="1610"/>
      <c r="Z9" s="1610"/>
      <c r="AA9" s="1610"/>
      <c r="AB9" s="1610"/>
      <c r="AC9" s="1610"/>
      <c r="AD9" s="1610"/>
      <c r="AE9" s="1610"/>
      <c r="AF9" s="1610"/>
      <c r="AG9" s="1610"/>
      <c r="AH9" s="1610"/>
      <c r="AI9" s="1610"/>
      <c r="AJ9" s="1610"/>
      <c r="AK9" s="1610"/>
      <c r="AL9" s="1610"/>
      <c r="AM9" s="1610"/>
      <c r="AN9" s="1610"/>
      <c r="AO9" s="1610"/>
      <c r="AP9" s="1610"/>
      <c r="AQ9" s="1610"/>
      <c r="AR9" s="1610"/>
      <c r="AS9" s="1610"/>
      <c r="AT9" s="1610"/>
      <c r="AU9" s="1610"/>
      <c r="AV9" s="1610"/>
      <c r="AW9" s="1610"/>
      <c r="AX9" s="1610"/>
      <c r="AY9" s="1610"/>
      <c r="AZ9" s="1610"/>
      <c r="BA9" s="1610"/>
      <c r="BB9" s="1610"/>
      <c r="BC9" s="1610"/>
      <c r="BD9" s="1610"/>
      <c r="BE9" s="1610"/>
      <c r="BF9" s="1610"/>
      <c r="BG9" s="1610"/>
      <c r="BH9" s="1610"/>
      <c r="BI9" s="1610"/>
      <c r="BJ9" s="1610"/>
      <c r="BK9" s="1610"/>
      <c r="BL9" s="1610"/>
      <c r="BM9" s="1610"/>
      <c r="BN9" s="1610"/>
      <c r="BO9" s="1610"/>
      <c r="BP9" s="1610"/>
      <c r="BQ9" s="1610"/>
      <c r="BR9" s="1610"/>
      <c r="BS9" s="1610"/>
      <c r="BT9" s="1610"/>
      <c r="BU9" s="1610"/>
      <c r="BV9" s="1610"/>
      <c r="BW9" s="1610"/>
      <c r="BX9" s="1610"/>
      <c r="BY9" s="1610"/>
      <c r="BZ9" s="1610"/>
      <c r="CA9" s="1610"/>
      <c r="CB9" s="1610"/>
      <c r="CC9" s="1610"/>
      <c r="CD9" s="1610"/>
      <c r="CE9" s="1610"/>
      <c r="CF9" s="1610"/>
      <c r="CG9" s="1610"/>
      <c r="CH9" s="1610"/>
      <c r="CI9" s="1610"/>
      <c r="CJ9" s="1610"/>
      <c r="CK9" s="1610"/>
      <c r="CL9" s="1610"/>
      <c r="CM9" s="1610"/>
      <c r="CN9" s="1610"/>
      <c r="CO9" s="1610"/>
      <c r="CP9" s="1610"/>
      <c r="CQ9" s="1610"/>
      <c r="CR9" s="1610"/>
      <c r="CS9" s="1610"/>
      <c r="CT9" s="1610"/>
      <c r="CU9" s="1610"/>
      <c r="CV9" s="1610"/>
      <c r="CW9" s="1610"/>
      <c r="CX9" s="1610"/>
      <c r="CY9" s="1610"/>
      <c r="CZ9" s="1610"/>
      <c r="DA9" s="1610"/>
      <c r="DB9" s="1610"/>
      <c r="DC9" s="1610"/>
      <c r="DD9" s="1610"/>
      <c r="DE9" s="1610"/>
      <c r="DF9" s="1610"/>
      <c r="DG9" s="1610"/>
      <c r="DH9" s="1610"/>
      <c r="DI9" s="1610"/>
      <c r="DJ9" s="1610"/>
      <c r="DK9" s="1610"/>
      <c r="DL9" s="1610"/>
      <c r="DM9" s="1610"/>
      <c r="DN9" s="1610"/>
      <c r="DO9" s="1610"/>
      <c r="DP9" s="1610"/>
      <c r="DQ9" s="1610"/>
      <c r="DR9" s="1610"/>
      <c r="DS9" s="1610"/>
      <c r="DT9" s="1610"/>
      <c r="DU9" s="1610"/>
      <c r="DV9" s="1610"/>
      <c r="DW9" s="1610"/>
      <c r="DX9" s="1610"/>
      <c r="DY9" s="1610"/>
      <c r="DZ9" s="1610"/>
      <c r="EA9" s="1610"/>
      <c r="EB9" s="1610"/>
      <c r="EC9" s="1610"/>
      <c r="ED9" s="1610"/>
      <c r="EE9" s="1610"/>
      <c r="EF9" s="1610"/>
      <c r="EG9" s="1610"/>
      <c r="EH9" s="1610"/>
      <c r="EI9" s="1610"/>
      <c r="EJ9" s="1610"/>
      <c r="EK9" s="1610"/>
      <c r="EL9" s="1610"/>
      <c r="EM9" s="1610"/>
      <c r="EN9" s="1610"/>
      <c r="EO9" s="1610"/>
      <c r="EP9" s="1610"/>
      <c r="EQ9" s="1610"/>
      <c r="ER9" s="1610"/>
      <c r="ES9" s="1610"/>
      <c r="ET9" s="1610"/>
      <c r="EU9" s="1610"/>
      <c r="EV9" s="1610"/>
      <c r="EW9" s="1610"/>
      <c r="EX9" s="1610"/>
      <c r="EY9" s="1610"/>
      <c r="EZ9" s="1610"/>
      <c r="FA9" s="1610"/>
      <c r="FB9" s="1610"/>
      <c r="FC9" s="1610"/>
      <c r="FD9" s="1610"/>
      <c r="FE9" s="1610"/>
      <c r="FF9" s="1610"/>
      <c r="FG9" s="1610"/>
      <c r="FH9" s="1610"/>
      <c r="FI9" s="1610"/>
      <c r="FJ9" s="1610"/>
      <c r="FK9" s="1610"/>
      <c r="FL9" s="1610"/>
      <c r="FM9" s="1610"/>
      <c r="FN9" s="1610"/>
      <c r="FO9" s="1610"/>
      <c r="FP9" s="1610"/>
      <c r="FQ9" s="1610"/>
      <c r="FR9" s="1610"/>
      <c r="FS9" s="1610"/>
      <c r="FT9" s="1610"/>
      <c r="FU9" s="1610"/>
      <c r="FV9" s="1610"/>
      <c r="FW9" s="1610"/>
      <c r="FX9" s="1610"/>
      <c r="FY9" s="1610"/>
      <c r="FZ9" s="1610"/>
      <c r="GA9" s="1610"/>
      <c r="GB9" s="1610"/>
      <c r="GC9" s="1610"/>
      <c r="GD9" s="1610"/>
      <c r="GE9" s="1610"/>
      <c r="GF9" s="1610"/>
      <c r="GG9" s="1610"/>
      <c r="GH9" s="1610"/>
      <c r="GI9" s="1610"/>
      <c r="GJ9" s="1610"/>
      <c r="GK9" s="1610"/>
      <c r="GL9" s="1610"/>
      <c r="GM9" s="1610"/>
      <c r="GN9" s="1610"/>
      <c r="GO9" s="1610"/>
      <c r="GP9" s="1610"/>
      <c r="GQ9" s="1610"/>
      <c r="GR9" s="1610"/>
      <c r="GS9" s="1610"/>
      <c r="GT9" s="1610"/>
      <c r="GU9" s="1610"/>
      <c r="GV9" s="1610"/>
      <c r="GW9" s="1610"/>
      <c r="GX9" s="1610"/>
      <c r="GY9" s="1610"/>
      <c r="GZ9" s="1610"/>
      <c r="HA9" s="1610"/>
      <c r="HB9" s="1610"/>
      <c r="HC9" s="1610"/>
      <c r="HD9" s="1610"/>
      <c r="HE9" s="1610"/>
      <c r="HF9" s="1610"/>
      <c r="HG9" s="1610"/>
      <c r="HH9" s="1610"/>
      <c r="HI9" s="1610"/>
      <c r="HJ9" s="1610"/>
      <c r="HK9" s="1610"/>
      <c r="HL9" s="1610"/>
      <c r="HM9" s="1610"/>
      <c r="HN9" s="1610"/>
      <c r="HO9" s="1610"/>
      <c r="HP9" s="1610"/>
      <c r="HQ9" s="1610"/>
      <c r="HR9" s="1610"/>
      <c r="HS9" s="1610"/>
      <c r="HT9" s="1610"/>
      <c r="HU9" s="1610"/>
      <c r="HV9" s="1610"/>
      <c r="HW9" s="1610"/>
    </row>
    <row r="10" spans="1:231" ht="33.75" customHeight="1" x14ac:dyDescent="0.2">
      <c r="A10" s="2265" t="s">
        <v>69</v>
      </c>
      <c r="B10" s="2265"/>
      <c r="C10" s="2265"/>
      <c r="D10" s="2265"/>
      <c r="E10" s="2265"/>
      <c r="F10" s="2265"/>
      <c r="G10" s="2265"/>
    </row>
    <row r="11" spans="1:231" ht="10.5" customHeight="1" x14ac:dyDescent="0.2">
      <c r="A11" s="1612"/>
      <c r="B11" s="1612"/>
      <c r="C11" s="1612"/>
      <c r="D11" s="1612"/>
      <c r="E11" s="1612"/>
      <c r="F11" s="1612"/>
      <c r="G11" s="1612"/>
    </row>
    <row r="12" spans="1:231" s="127" customFormat="1" ht="15.75" x14ac:dyDescent="0.2">
      <c r="A12" s="127" t="s">
        <v>686</v>
      </c>
    </row>
    <row r="13" spans="1:231" ht="76.5" x14ac:dyDescent="0.2">
      <c r="A13" s="1613" t="s">
        <v>19</v>
      </c>
      <c r="B13" s="1614" t="s">
        <v>20</v>
      </c>
      <c r="C13" s="1614" t="s">
        <v>71</v>
      </c>
      <c r="D13" s="1615" t="s">
        <v>70</v>
      </c>
      <c r="E13" s="1614" t="s">
        <v>21</v>
      </c>
      <c r="F13" s="1614" t="s">
        <v>22</v>
      </c>
      <c r="G13" s="1614" t="s">
        <v>23</v>
      </c>
    </row>
    <row r="14" spans="1:231" ht="15.75" x14ac:dyDescent="0.2">
      <c r="A14" s="1616"/>
      <c r="B14" s="1616" t="s">
        <v>24</v>
      </c>
      <c r="C14" s="1616"/>
      <c r="D14" s="1617"/>
      <c r="E14" s="1616" t="s">
        <v>25</v>
      </c>
      <c r="F14" s="1618">
        <f>Т.с.!C17</f>
        <v>17.8</v>
      </c>
      <c r="G14" s="1616"/>
    </row>
    <row r="15" spans="1:231" ht="67.5" customHeight="1" x14ac:dyDescent="0.2">
      <c r="A15" s="1616"/>
      <c r="B15" s="1619" t="s">
        <v>26</v>
      </c>
      <c r="C15" s="1616"/>
      <c r="D15" s="1617"/>
      <c r="E15" s="1616"/>
      <c r="F15" s="1620"/>
      <c r="G15" s="1616"/>
    </row>
    <row r="16" spans="1:231" ht="27" customHeight="1" x14ac:dyDescent="0.2">
      <c r="A16" s="1616"/>
      <c r="B16" s="1616" t="s">
        <v>27</v>
      </c>
      <c r="C16" s="1616" t="s">
        <v>28</v>
      </c>
      <c r="D16" s="1621">
        <v>178</v>
      </c>
      <c r="E16" s="1622"/>
      <c r="F16" s="1623">
        <f>F14</f>
        <v>17.8</v>
      </c>
      <c r="G16" s="1624">
        <f>ROUND(D16*F16,0)</f>
        <v>3168</v>
      </c>
    </row>
    <row r="17" spans="1:8" ht="87" hidden="1" customHeight="1" x14ac:dyDescent="0.2">
      <c r="A17" s="1616"/>
      <c r="B17" s="1619" t="s">
        <v>29</v>
      </c>
      <c r="C17" s="1616" t="s">
        <v>30</v>
      </c>
      <c r="D17" s="1625">
        <v>0</v>
      </c>
      <c r="E17" s="1616"/>
      <c r="F17" s="1620"/>
      <c r="G17" s="1626">
        <f>ROUND(G16*D17,0)</f>
        <v>0</v>
      </c>
    </row>
    <row r="18" spans="1:8" s="41" customFormat="1" ht="45" x14ac:dyDescent="0.2">
      <c r="A18" s="241"/>
      <c r="B18" s="240" t="s">
        <v>29</v>
      </c>
      <c r="C18" s="241" t="s">
        <v>30</v>
      </c>
      <c r="D18" s="242">
        <v>1.1499999999999999</v>
      </c>
      <c r="E18" s="241"/>
      <c r="F18" s="244"/>
      <c r="G18" s="247">
        <f>G16*D18</f>
        <v>3643.2</v>
      </c>
      <c r="H18" s="42"/>
    </row>
    <row r="19" spans="1:8" s="41" customFormat="1" ht="15.75" x14ac:dyDescent="0.2">
      <c r="A19" s="241"/>
      <c r="B19" s="252" t="s">
        <v>307</v>
      </c>
      <c r="C19" s="241"/>
      <c r="D19" s="242"/>
      <c r="E19" s="241"/>
      <c r="F19" s="244"/>
      <c r="G19" s="249">
        <f>G18</f>
        <v>3643.2</v>
      </c>
    </row>
    <row r="20" spans="1:8" s="41" customFormat="1" ht="15.75" x14ac:dyDescent="0.2">
      <c r="A20" s="241"/>
      <c r="B20" s="248"/>
      <c r="C20" s="250"/>
      <c r="D20" s="251"/>
      <c r="E20" s="241"/>
      <c r="F20" s="244"/>
      <c r="G20" s="249"/>
    </row>
    <row r="21" spans="1:8" s="41" customFormat="1" ht="15.75" x14ac:dyDescent="0.2">
      <c r="A21" s="241"/>
      <c r="B21" s="248" t="s">
        <v>634</v>
      </c>
      <c r="C21" s="241"/>
      <c r="D21" s="242"/>
      <c r="E21" s="241"/>
      <c r="F21" s="244"/>
      <c r="G21" s="249">
        <f>G19</f>
        <v>3643.2</v>
      </c>
      <c r="H21" s="57"/>
    </row>
    <row r="22" spans="1:8" s="1628" customFormat="1" ht="15" x14ac:dyDescent="0.2">
      <c r="A22" s="1627"/>
      <c r="C22" s="1627"/>
      <c r="D22" s="1627"/>
      <c r="E22" s="1627"/>
      <c r="F22" s="1629"/>
      <c r="G22" s="1627"/>
    </row>
    <row r="23" spans="1:8" s="485" customFormat="1" outlineLevel="1" x14ac:dyDescent="0.2"/>
  </sheetData>
  <mergeCells count="6">
    <mergeCell ref="A5:G5"/>
    <mergeCell ref="A6:G6"/>
    <mergeCell ref="A7:G7"/>
    <mergeCell ref="A8:G8"/>
    <mergeCell ref="A10:G10"/>
    <mergeCell ref="A9:G9"/>
  </mergeCells>
  <pageMargins left="0.7" right="0.7" top="0.75" bottom="0.75" header="0.3" footer="0.3"/>
  <pageSetup paperSize="9" scale="77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view="pageBreakPreview" zoomScaleNormal="100" zoomScaleSheetLayoutView="100" workbookViewId="0">
      <selection activeCell="N16" sqref="N16"/>
    </sheetView>
  </sheetViews>
  <sheetFormatPr defaultRowHeight="12.75" x14ac:dyDescent="0.2"/>
  <cols>
    <col min="1" max="1" width="5.140625" style="580" customWidth="1"/>
    <col min="2" max="2" width="48.7109375" style="1668" customWidth="1"/>
    <col min="3" max="3" width="11.42578125" style="580" hidden="1" customWidth="1"/>
    <col min="4" max="4" width="9.7109375" style="1690" customWidth="1"/>
    <col min="5" max="5" width="21.140625" style="1691" customWidth="1"/>
    <col min="6" max="6" width="18" style="580" customWidth="1"/>
    <col min="7" max="7" width="14.85546875" style="1668" bestFit="1" customWidth="1"/>
    <col min="8" max="8" width="9.140625" style="580"/>
    <col min="9" max="9" width="12.7109375" style="580" customWidth="1"/>
    <col min="10" max="256" width="9.140625" style="580"/>
    <col min="257" max="257" width="5.140625" style="580" customWidth="1"/>
    <col min="258" max="258" width="48.7109375" style="580" customWidth="1"/>
    <col min="259" max="259" width="0" style="580" hidden="1" customWidth="1"/>
    <col min="260" max="260" width="9.7109375" style="580" customWidth="1"/>
    <col min="261" max="261" width="21.140625" style="580" customWidth="1"/>
    <col min="262" max="262" width="18" style="580" customWidth="1"/>
    <col min="263" max="263" width="14.85546875" style="580" bestFit="1" customWidth="1"/>
    <col min="264" max="264" width="9.140625" style="580"/>
    <col min="265" max="265" width="12.7109375" style="580" customWidth="1"/>
    <col min="266" max="512" width="9.140625" style="580"/>
    <col min="513" max="513" width="5.140625" style="580" customWidth="1"/>
    <col min="514" max="514" width="48.7109375" style="580" customWidth="1"/>
    <col min="515" max="515" width="0" style="580" hidden="1" customWidth="1"/>
    <col min="516" max="516" width="9.7109375" style="580" customWidth="1"/>
    <col min="517" max="517" width="21.140625" style="580" customWidth="1"/>
    <col min="518" max="518" width="18" style="580" customWidth="1"/>
    <col min="519" max="519" width="14.85546875" style="580" bestFit="1" customWidth="1"/>
    <col min="520" max="520" width="9.140625" style="580"/>
    <col min="521" max="521" width="12.7109375" style="580" customWidth="1"/>
    <col min="522" max="768" width="9.140625" style="580"/>
    <col min="769" max="769" width="5.140625" style="580" customWidth="1"/>
    <col min="770" max="770" width="48.7109375" style="580" customWidth="1"/>
    <col min="771" max="771" width="0" style="580" hidden="1" customWidth="1"/>
    <col min="772" max="772" width="9.7109375" style="580" customWidth="1"/>
    <col min="773" max="773" width="21.140625" style="580" customWidth="1"/>
    <col min="774" max="774" width="18" style="580" customWidth="1"/>
    <col min="775" max="775" width="14.85546875" style="580" bestFit="1" customWidth="1"/>
    <col min="776" max="776" width="9.140625" style="580"/>
    <col min="777" max="777" width="12.7109375" style="580" customWidth="1"/>
    <col min="778" max="1024" width="9.140625" style="580"/>
    <col min="1025" max="1025" width="5.140625" style="580" customWidth="1"/>
    <col min="1026" max="1026" width="48.7109375" style="580" customWidth="1"/>
    <col min="1027" max="1027" width="0" style="580" hidden="1" customWidth="1"/>
    <col min="1028" max="1028" width="9.7109375" style="580" customWidth="1"/>
    <col min="1029" max="1029" width="21.140625" style="580" customWidth="1"/>
    <col min="1030" max="1030" width="18" style="580" customWidth="1"/>
    <col min="1031" max="1031" width="14.85546875" style="580" bestFit="1" customWidth="1"/>
    <col min="1032" max="1032" width="9.140625" style="580"/>
    <col min="1033" max="1033" width="12.7109375" style="580" customWidth="1"/>
    <col min="1034" max="1280" width="9.140625" style="580"/>
    <col min="1281" max="1281" width="5.140625" style="580" customWidth="1"/>
    <col min="1282" max="1282" width="48.7109375" style="580" customWidth="1"/>
    <col min="1283" max="1283" width="0" style="580" hidden="1" customWidth="1"/>
    <col min="1284" max="1284" width="9.7109375" style="580" customWidth="1"/>
    <col min="1285" max="1285" width="21.140625" style="580" customWidth="1"/>
    <col min="1286" max="1286" width="18" style="580" customWidth="1"/>
    <col min="1287" max="1287" width="14.85546875" style="580" bestFit="1" customWidth="1"/>
    <col min="1288" max="1288" width="9.140625" style="580"/>
    <col min="1289" max="1289" width="12.7109375" style="580" customWidth="1"/>
    <col min="1290" max="1536" width="9.140625" style="580"/>
    <col min="1537" max="1537" width="5.140625" style="580" customWidth="1"/>
    <col min="1538" max="1538" width="48.7109375" style="580" customWidth="1"/>
    <col min="1539" max="1539" width="0" style="580" hidden="1" customWidth="1"/>
    <col min="1540" max="1540" width="9.7109375" style="580" customWidth="1"/>
    <col min="1541" max="1541" width="21.140625" style="580" customWidth="1"/>
    <col min="1542" max="1542" width="18" style="580" customWidth="1"/>
    <col min="1543" max="1543" width="14.85546875" style="580" bestFit="1" customWidth="1"/>
    <col min="1544" max="1544" width="9.140625" style="580"/>
    <col min="1545" max="1545" width="12.7109375" style="580" customWidth="1"/>
    <col min="1546" max="1792" width="9.140625" style="580"/>
    <col min="1793" max="1793" width="5.140625" style="580" customWidth="1"/>
    <col min="1794" max="1794" width="48.7109375" style="580" customWidth="1"/>
    <col min="1795" max="1795" width="0" style="580" hidden="1" customWidth="1"/>
    <col min="1796" max="1796" width="9.7109375" style="580" customWidth="1"/>
    <col min="1797" max="1797" width="21.140625" style="580" customWidth="1"/>
    <col min="1798" max="1798" width="18" style="580" customWidth="1"/>
    <col min="1799" max="1799" width="14.85546875" style="580" bestFit="1" customWidth="1"/>
    <col min="1800" max="1800" width="9.140625" style="580"/>
    <col min="1801" max="1801" width="12.7109375" style="580" customWidth="1"/>
    <col min="1802" max="2048" width="9.140625" style="580"/>
    <col min="2049" max="2049" width="5.140625" style="580" customWidth="1"/>
    <col min="2050" max="2050" width="48.7109375" style="580" customWidth="1"/>
    <col min="2051" max="2051" width="0" style="580" hidden="1" customWidth="1"/>
    <col min="2052" max="2052" width="9.7109375" style="580" customWidth="1"/>
    <col min="2053" max="2053" width="21.140625" style="580" customWidth="1"/>
    <col min="2054" max="2054" width="18" style="580" customWidth="1"/>
    <col min="2055" max="2055" width="14.85546875" style="580" bestFit="1" customWidth="1"/>
    <col min="2056" max="2056" width="9.140625" style="580"/>
    <col min="2057" max="2057" width="12.7109375" style="580" customWidth="1"/>
    <col min="2058" max="2304" width="9.140625" style="580"/>
    <col min="2305" max="2305" width="5.140625" style="580" customWidth="1"/>
    <col min="2306" max="2306" width="48.7109375" style="580" customWidth="1"/>
    <col min="2307" max="2307" width="0" style="580" hidden="1" customWidth="1"/>
    <col min="2308" max="2308" width="9.7109375" style="580" customWidth="1"/>
    <col min="2309" max="2309" width="21.140625" style="580" customWidth="1"/>
    <col min="2310" max="2310" width="18" style="580" customWidth="1"/>
    <col min="2311" max="2311" width="14.85546875" style="580" bestFit="1" customWidth="1"/>
    <col min="2312" max="2312" width="9.140625" style="580"/>
    <col min="2313" max="2313" width="12.7109375" style="580" customWidth="1"/>
    <col min="2314" max="2560" width="9.140625" style="580"/>
    <col min="2561" max="2561" width="5.140625" style="580" customWidth="1"/>
    <col min="2562" max="2562" width="48.7109375" style="580" customWidth="1"/>
    <col min="2563" max="2563" width="0" style="580" hidden="1" customWidth="1"/>
    <col min="2564" max="2564" width="9.7109375" style="580" customWidth="1"/>
    <col min="2565" max="2565" width="21.140625" style="580" customWidth="1"/>
    <col min="2566" max="2566" width="18" style="580" customWidth="1"/>
    <col min="2567" max="2567" width="14.85546875" style="580" bestFit="1" customWidth="1"/>
    <col min="2568" max="2568" width="9.140625" style="580"/>
    <col min="2569" max="2569" width="12.7109375" style="580" customWidth="1"/>
    <col min="2570" max="2816" width="9.140625" style="580"/>
    <col min="2817" max="2817" width="5.140625" style="580" customWidth="1"/>
    <col min="2818" max="2818" width="48.7109375" style="580" customWidth="1"/>
    <col min="2819" max="2819" width="0" style="580" hidden="1" customWidth="1"/>
    <col min="2820" max="2820" width="9.7109375" style="580" customWidth="1"/>
    <col min="2821" max="2821" width="21.140625" style="580" customWidth="1"/>
    <col min="2822" max="2822" width="18" style="580" customWidth="1"/>
    <col min="2823" max="2823" width="14.85546875" style="580" bestFit="1" customWidth="1"/>
    <col min="2824" max="2824" width="9.140625" style="580"/>
    <col min="2825" max="2825" width="12.7109375" style="580" customWidth="1"/>
    <col min="2826" max="3072" width="9.140625" style="580"/>
    <col min="3073" max="3073" width="5.140625" style="580" customWidth="1"/>
    <col min="3074" max="3074" width="48.7109375" style="580" customWidth="1"/>
    <col min="3075" max="3075" width="0" style="580" hidden="1" customWidth="1"/>
    <col min="3076" max="3076" width="9.7109375" style="580" customWidth="1"/>
    <col min="3077" max="3077" width="21.140625" style="580" customWidth="1"/>
    <col min="3078" max="3078" width="18" style="580" customWidth="1"/>
    <col min="3079" max="3079" width="14.85546875" style="580" bestFit="1" customWidth="1"/>
    <col min="3080" max="3080" width="9.140625" style="580"/>
    <col min="3081" max="3081" width="12.7109375" style="580" customWidth="1"/>
    <col min="3082" max="3328" width="9.140625" style="580"/>
    <col min="3329" max="3329" width="5.140625" style="580" customWidth="1"/>
    <col min="3330" max="3330" width="48.7109375" style="580" customWidth="1"/>
    <col min="3331" max="3331" width="0" style="580" hidden="1" customWidth="1"/>
    <col min="3332" max="3332" width="9.7109375" style="580" customWidth="1"/>
    <col min="3333" max="3333" width="21.140625" style="580" customWidth="1"/>
    <col min="3334" max="3334" width="18" style="580" customWidth="1"/>
    <col min="3335" max="3335" width="14.85546875" style="580" bestFit="1" customWidth="1"/>
    <col min="3336" max="3336" width="9.140625" style="580"/>
    <col min="3337" max="3337" width="12.7109375" style="580" customWidth="1"/>
    <col min="3338" max="3584" width="9.140625" style="580"/>
    <col min="3585" max="3585" width="5.140625" style="580" customWidth="1"/>
    <col min="3586" max="3586" width="48.7109375" style="580" customWidth="1"/>
    <col min="3587" max="3587" width="0" style="580" hidden="1" customWidth="1"/>
    <col min="3588" max="3588" width="9.7109375" style="580" customWidth="1"/>
    <col min="3589" max="3589" width="21.140625" style="580" customWidth="1"/>
    <col min="3590" max="3590" width="18" style="580" customWidth="1"/>
    <col min="3591" max="3591" width="14.85546875" style="580" bestFit="1" customWidth="1"/>
    <col min="3592" max="3592" width="9.140625" style="580"/>
    <col min="3593" max="3593" width="12.7109375" style="580" customWidth="1"/>
    <col min="3594" max="3840" width="9.140625" style="580"/>
    <col min="3841" max="3841" width="5.140625" style="580" customWidth="1"/>
    <col min="3842" max="3842" width="48.7109375" style="580" customWidth="1"/>
    <col min="3843" max="3843" width="0" style="580" hidden="1" customWidth="1"/>
    <col min="3844" max="3844" width="9.7109375" style="580" customWidth="1"/>
    <col min="3845" max="3845" width="21.140625" style="580" customWidth="1"/>
    <col min="3846" max="3846" width="18" style="580" customWidth="1"/>
    <col min="3847" max="3847" width="14.85546875" style="580" bestFit="1" customWidth="1"/>
    <col min="3848" max="3848" width="9.140625" style="580"/>
    <col min="3849" max="3849" width="12.7109375" style="580" customWidth="1"/>
    <col min="3850" max="4096" width="9.140625" style="580"/>
    <col min="4097" max="4097" width="5.140625" style="580" customWidth="1"/>
    <col min="4098" max="4098" width="48.7109375" style="580" customWidth="1"/>
    <col min="4099" max="4099" width="0" style="580" hidden="1" customWidth="1"/>
    <col min="4100" max="4100" width="9.7109375" style="580" customWidth="1"/>
    <col min="4101" max="4101" width="21.140625" style="580" customWidth="1"/>
    <col min="4102" max="4102" width="18" style="580" customWidth="1"/>
    <col min="4103" max="4103" width="14.85546875" style="580" bestFit="1" customWidth="1"/>
    <col min="4104" max="4104" width="9.140625" style="580"/>
    <col min="4105" max="4105" width="12.7109375" style="580" customWidth="1"/>
    <col min="4106" max="4352" width="9.140625" style="580"/>
    <col min="4353" max="4353" width="5.140625" style="580" customWidth="1"/>
    <col min="4354" max="4354" width="48.7109375" style="580" customWidth="1"/>
    <col min="4355" max="4355" width="0" style="580" hidden="1" customWidth="1"/>
    <col min="4356" max="4356" width="9.7109375" style="580" customWidth="1"/>
    <col min="4357" max="4357" width="21.140625" style="580" customWidth="1"/>
    <col min="4358" max="4358" width="18" style="580" customWidth="1"/>
    <col min="4359" max="4359" width="14.85546875" style="580" bestFit="1" customWidth="1"/>
    <col min="4360" max="4360" width="9.140625" style="580"/>
    <col min="4361" max="4361" width="12.7109375" style="580" customWidth="1"/>
    <col min="4362" max="4608" width="9.140625" style="580"/>
    <col min="4609" max="4609" width="5.140625" style="580" customWidth="1"/>
    <col min="4610" max="4610" width="48.7109375" style="580" customWidth="1"/>
    <col min="4611" max="4611" width="0" style="580" hidden="1" customWidth="1"/>
    <col min="4612" max="4612" width="9.7109375" style="580" customWidth="1"/>
    <col min="4613" max="4613" width="21.140625" style="580" customWidth="1"/>
    <col min="4614" max="4614" width="18" style="580" customWidth="1"/>
    <col min="4615" max="4615" width="14.85546875" style="580" bestFit="1" customWidth="1"/>
    <col min="4616" max="4616" width="9.140625" style="580"/>
    <col min="4617" max="4617" width="12.7109375" style="580" customWidth="1"/>
    <col min="4618" max="4864" width="9.140625" style="580"/>
    <col min="4865" max="4865" width="5.140625" style="580" customWidth="1"/>
    <col min="4866" max="4866" width="48.7109375" style="580" customWidth="1"/>
    <col min="4867" max="4867" width="0" style="580" hidden="1" customWidth="1"/>
    <col min="4868" max="4868" width="9.7109375" style="580" customWidth="1"/>
    <col min="4869" max="4869" width="21.140625" style="580" customWidth="1"/>
    <col min="4870" max="4870" width="18" style="580" customWidth="1"/>
    <col min="4871" max="4871" width="14.85546875" style="580" bestFit="1" customWidth="1"/>
    <col min="4872" max="4872" width="9.140625" style="580"/>
    <col min="4873" max="4873" width="12.7109375" style="580" customWidth="1"/>
    <col min="4874" max="5120" width="9.140625" style="580"/>
    <col min="5121" max="5121" width="5.140625" style="580" customWidth="1"/>
    <col min="5122" max="5122" width="48.7109375" style="580" customWidth="1"/>
    <col min="5123" max="5123" width="0" style="580" hidden="1" customWidth="1"/>
    <col min="5124" max="5124" width="9.7109375" style="580" customWidth="1"/>
    <col min="5125" max="5125" width="21.140625" style="580" customWidth="1"/>
    <col min="5126" max="5126" width="18" style="580" customWidth="1"/>
    <col min="5127" max="5127" width="14.85546875" style="580" bestFit="1" customWidth="1"/>
    <col min="5128" max="5128" width="9.140625" style="580"/>
    <col min="5129" max="5129" width="12.7109375" style="580" customWidth="1"/>
    <col min="5130" max="5376" width="9.140625" style="580"/>
    <col min="5377" max="5377" width="5.140625" style="580" customWidth="1"/>
    <col min="5378" max="5378" width="48.7109375" style="580" customWidth="1"/>
    <col min="5379" max="5379" width="0" style="580" hidden="1" customWidth="1"/>
    <col min="5380" max="5380" width="9.7109375" style="580" customWidth="1"/>
    <col min="5381" max="5381" width="21.140625" style="580" customWidth="1"/>
    <col min="5382" max="5382" width="18" style="580" customWidth="1"/>
    <col min="5383" max="5383" width="14.85546875" style="580" bestFit="1" customWidth="1"/>
    <col min="5384" max="5384" width="9.140625" style="580"/>
    <col min="5385" max="5385" width="12.7109375" style="580" customWidth="1"/>
    <col min="5386" max="5632" width="9.140625" style="580"/>
    <col min="5633" max="5633" width="5.140625" style="580" customWidth="1"/>
    <col min="5634" max="5634" width="48.7109375" style="580" customWidth="1"/>
    <col min="5635" max="5635" width="0" style="580" hidden="1" customWidth="1"/>
    <col min="5636" max="5636" width="9.7109375" style="580" customWidth="1"/>
    <col min="5637" max="5637" width="21.140625" style="580" customWidth="1"/>
    <col min="5638" max="5638" width="18" style="580" customWidth="1"/>
    <col min="5639" max="5639" width="14.85546875" style="580" bestFit="1" customWidth="1"/>
    <col min="5640" max="5640" width="9.140625" style="580"/>
    <col min="5641" max="5641" width="12.7109375" style="580" customWidth="1"/>
    <col min="5642" max="5888" width="9.140625" style="580"/>
    <col min="5889" max="5889" width="5.140625" style="580" customWidth="1"/>
    <col min="5890" max="5890" width="48.7109375" style="580" customWidth="1"/>
    <col min="5891" max="5891" width="0" style="580" hidden="1" customWidth="1"/>
    <col min="5892" max="5892" width="9.7109375" style="580" customWidth="1"/>
    <col min="5893" max="5893" width="21.140625" style="580" customWidth="1"/>
    <col min="5894" max="5894" width="18" style="580" customWidth="1"/>
    <col min="5895" max="5895" width="14.85546875" style="580" bestFit="1" customWidth="1"/>
    <col min="5896" max="5896" width="9.140625" style="580"/>
    <col min="5897" max="5897" width="12.7109375" style="580" customWidth="1"/>
    <col min="5898" max="6144" width="9.140625" style="580"/>
    <col min="6145" max="6145" width="5.140625" style="580" customWidth="1"/>
    <col min="6146" max="6146" width="48.7109375" style="580" customWidth="1"/>
    <col min="6147" max="6147" width="0" style="580" hidden="1" customWidth="1"/>
    <col min="6148" max="6148" width="9.7109375" style="580" customWidth="1"/>
    <col min="6149" max="6149" width="21.140625" style="580" customWidth="1"/>
    <col min="6150" max="6150" width="18" style="580" customWidth="1"/>
    <col min="6151" max="6151" width="14.85546875" style="580" bestFit="1" customWidth="1"/>
    <col min="6152" max="6152" width="9.140625" style="580"/>
    <col min="6153" max="6153" width="12.7109375" style="580" customWidth="1"/>
    <col min="6154" max="6400" width="9.140625" style="580"/>
    <col min="6401" max="6401" width="5.140625" style="580" customWidth="1"/>
    <col min="6402" max="6402" width="48.7109375" style="580" customWidth="1"/>
    <col min="6403" max="6403" width="0" style="580" hidden="1" customWidth="1"/>
    <col min="6404" max="6404" width="9.7109375" style="580" customWidth="1"/>
    <col min="6405" max="6405" width="21.140625" style="580" customWidth="1"/>
    <col min="6406" max="6406" width="18" style="580" customWidth="1"/>
    <col min="6407" max="6407" width="14.85546875" style="580" bestFit="1" customWidth="1"/>
    <col min="6408" max="6408" width="9.140625" style="580"/>
    <col min="6409" max="6409" width="12.7109375" style="580" customWidth="1"/>
    <col min="6410" max="6656" width="9.140625" style="580"/>
    <col min="6657" max="6657" width="5.140625" style="580" customWidth="1"/>
    <col min="6658" max="6658" width="48.7109375" style="580" customWidth="1"/>
    <col min="6659" max="6659" width="0" style="580" hidden="1" customWidth="1"/>
    <col min="6660" max="6660" width="9.7109375" style="580" customWidth="1"/>
    <col min="6661" max="6661" width="21.140625" style="580" customWidth="1"/>
    <col min="6662" max="6662" width="18" style="580" customWidth="1"/>
    <col min="6663" max="6663" width="14.85546875" style="580" bestFit="1" customWidth="1"/>
    <col min="6664" max="6664" width="9.140625" style="580"/>
    <col min="6665" max="6665" width="12.7109375" style="580" customWidth="1"/>
    <col min="6666" max="6912" width="9.140625" style="580"/>
    <col min="6913" max="6913" width="5.140625" style="580" customWidth="1"/>
    <col min="6914" max="6914" width="48.7109375" style="580" customWidth="1"/>
    <col min="6915" max="6915" width="0" style="580" hidden="1" customWidth="1"/>
    <col min="6916" max="6916" width="9.7109375" style="580" customWidth="1"/>
    <col min="6917" max="6917" width="21.140625" style="580" customWidth="1"/>
    <col min="6918" max="6918" width="18" style="580" customWidth="1"/>
    <col min="6919" max="6919" width="14.85546875" style="580" bestFit="1" customWidth="1"/>
    <col min="6920" max="6920" width="9.140625" style="580"/>
    <col min="6921" max="6921" width="12.7109375" style="580" customWidth="1"/>
    <col min="6922" max="7168" width="9.140625" style="580"/>
    <col min="7169" max="7169" width="5.140625" style="580" customWidth="1"/>
    <col min="7170" max="7170" width="48.7109375" style="580" customWidth="1"/>
    <col min="7171" max="7171" width="0" style="580" hidden="1" customWidth="1"/>
    <col min="7172" max="7172" width="9.7109375" style="580" customWidth="1"/>
    <col min="7173" max="7173" width="21.140625" style="580" customWidth="1"/>
    <col min="7174" max="7174" width="18" style="580" customWidth="1"/>
    <col min="7175" max="7175" width="14.85546875" style="580" bestFit="1" customWidth="1"/>
    <col min="7176" max="7176" width="9.140625" style="580"/>
    <col min="7177" max="7177" width="12.7109375" style="580" customWidth="1"/>
    <col min="7178" max="7424" width="9.140625" style="580"/>
    <col min="7425" max="7425" width="5.140625" style="580" customWidth="1"/>
    <col min="7426" max="7426" width="48.7109375" style="580" customWidth="1"/>
    <col min="7427" max="7427" width="0" style="580" hidden="1" customWidth="1"/>
    <col min="7428" max="7428" width="9.7109375" style="580" customWidth="1"/>
    <col min="7429" max="7429" width="21.140625" style="580" customWidth="1"/>
    <col min="7430" max="7430" width="18" style="580" customWidth="1"/>
    <col min="7431" max="7431" width="14.85546875" style="580" bestFit="1" customWidth="1"/>
    <col min="7432" max="7432" width="9.140625" style="580"/>
    <col min="7433" max="7433" width="12.7109375" style="580" customWidth="1"/>
    <col min="7434" max="7680" width="9.140625" style="580"/>
    <col min="7681" max="7681" width="5.140625" style="580" customWidth="1"/>
    <col min="7682" max="7682" width="48.7109375" style="580" customWidth="1"/>
    <col min="7683" max="7683" width="0" style="580" hidden="1" customWidth="1"/>
    <col min="7684" max="7684" width="9.7109375" style="580" customWidth="1"/>
    <col min="7685" max="7685" width="21.140625" style="580" customWidth="1"/>
    <col min="7686" max="7686" width="18" style="580" customWidth="1"/>
    <col min="7687" max="7687" width="14.85546875" style="580" bestFit="1" customWidth="1"/>
    <col min="7688" max="7688" width="9.140625" style="580"/>
    <col min="7689" max="7689" width="12.7109375" style="580" customWidth="1"/>
    <col min="7690" max="7936" width="9.140625" style="580"/>
    <col min="7937" max="7937" width="5.140625" style="580" customWidth="1"/>
    <col min="7938" max="7938" width="48.7109375" style="580" customWidth="1"/>
    <col min="7939" max="7939" width="0" style="580" hidden="1" customWidth="1"/>
    <col min="7940" max="7940" width="9.7109375" style="580" customWidth="1"/>
    <col min="7941" max="7941" width="21.140625" style="580" customWidth="1"/>
    <col min="7942" max="7942" width="18" style="580" customWidth="1"/>
    <col min="7943" max="7943" width="14.85546875" style="580" bestFit="1" customWidth="1"/>
    <col min="7944" max="7944" width="9.140625" style="580"/>
    <col min="7945" max="7945" width="12.7109375" style="580" customWidth="1"/>
    <col min="7946" max="8192" width="9.140625" style="580"/>
    <col min="8193" max="8193" width="5.140625" style="580" customWidth="1"/>
    <col min="8194" max="8194" width="48.7109375" style="580" customWidth="1"/>
    <col min="8195" max="8195" width="0" style="580" hidden="1" customWidth="1"/>
    <col min="8196" max="8196" width="9.7109375" style="580" customWidth="1"/>
    <col min="8197" max="8197" width="21.140625" style="580" customWidth="1"/>
    <col min="8198" max="8198" width="18" style="580" customWidth="1"/>
    <col min="8199" max="8199" width="14.85546875" style="580" bestFit="1" customWidth="1"/>
    <col min="8200" max="8200" width="9.140625" style="580"/>
    <col min="8201" max="8201" width="12.7109375" style="580" customWidth="1"/>
    <col min="8202" max="8448" width="9.140625" style="580"/>
    <col min="8449" max="8449" width="5.140625" style="580" customWidth="1"/>
    <col min="8450" max="8450" width="48.7109375" style="580" customWidth="1"/>
    <col min="8451" max="8451" width="0" style="580" hidden="1" customWidth="1"/>
    <col min="8452" max="8452" width="9.7109375" style="580" customWidth="1"/>
    <col min="8453" max="8453" width="21.140625" style="580" customWidth="1"/>
    <col min="8454" max="8454" width="18" style="580" customWidth="1"/>
    <col min="8455" max="8455" width="14.85546875" style="580" bestFit="1" customWidth="1"/>
    <col min="8456" max="8456" width="9.140625" style="580"/>
    <col min="8457" max="8457" width="12.7109375" style="580" customWidth="1"/>
    <col min="8458" max="8704" width="9.140625" style="580"/>
    <col min="8705" max="8705" width="5.140625" style="580" customWidth="1"/>
    <col min="8706" max="8706" width="48.7109375" style="580" customWidth="1"/>
    <col min="8707" max="8707" width="0" style="580" hidden="1" customWidth="1"/>
    <col min="8708" max="8708" width="9.7109375" style="580" customWidth="1"/>
    <col min="8709" max="8709" width="21.140625" style="580" customWidth="1"/>
    <col min="8710" max="8710" width="18" style="580" customWidth="1"/>
    <col min="8711" max="8711" width="14.85546875" style="580" bestFit="1" customWidth="1"/>
    <col min="8712" max="8712" width="9.140625" style="580"/>
    <col min="8713" max="8713" width="12.7109375" style="580" customWidth="1"/>
    <col min="8714" max="8960" width="9.140625" style="580"/>
    <col min="8961" max="8961" width="5.140625" style="580" customWidth="1"/>
    <col min="8962" max="8962" width="48.7109375" style="580" customWidth="1"/>
    <col min="8963" max="8963" width="0" style="580" hidden="1" customWidth="1"/>
    <col min="8964" max="8964" width="9.7109375" style="580" customWidth="1"/>
    <col min="8965" max="8965" width="21.140625" style="580" customWidth="1"/>
    <col min="8966" max="8966" width="18" style="580" customWidth="1"/>
    <col min="8967" max="8967" width="14.85546875" style="580" bestFit="1" customWidth="1"/>
    <col min="8968" max="8968" width="9.140625" style="580"/>
    <col min="8969" max="8969" width="12.7109375" style="580" customWidth="1"/>
    <col min="8970" max="9216" width="9.140625" style="580"/>
    <col min="9217" max="9217" width="5.140625" style="580" customWidth="1"/>
    <col min="9218" max="9218" width="48.7109375" style="580" customWidth="1"/>
    <col min="9219" max="9219" width="0" style="580" hidden="1" customWidth="1"/>
    <col min="9220" max="9220" width="9.7109375" style="580" customWidth="1"/>
    <col min="9221" max="9221" width="21.140625" style="580" customWidth="1"/>
    <col min="9222" max="9222" width="18" style="580" customWidth="1"/>
    <col min="9223" max="9223" width="14.85546875" style="580" bestFit="1" customWidth="1"/>
    <col min="9224" max="9224" width="9.140625" style="580"/>
    <col min="9225" max="9225" width="12.7109375" style="580" customWidth="1"/>
    <col min="9226" max="9472" width="9.140625" style="580"/>
    <col min="9473" max="9473" width="5.140625" style="580" customWidth="1"/>
    <col min="9474" max="9474" width="48.7109375" style="580" customWidth="1"/>
    <col min="9475" max="9475" width="0" style="580" hidden="1" customWidth="1"/>
    <col min="9476" max="9476" width="9.7109375" style="580" customWidth="1"/>
    <col min="9477" max="9477" width="21.140625" style="580" customWidth="1"/>
    <col min="9478" max="9478" width="18" style="580" customWidth="1"/>
    <col min="9479" max="9479" width="14.85546875" style="580" bestFit="1" customWidth="1"/>
    <col min="9480" max="9480" width="9.140625" style="580"/>
    <col min="9481" max="9481" width="12.7109375" style="580" customWidth="1"/>
    <col min="9482" max="9728" width="9.140625" style="580"/>
    <col min="9729" max="9729" width="5.140625" style="580" customWidth="1"/>
    <col min="9730" max="9730" width="48.7109375" style="580" customWidth="1"/>
    <col min="9731" max="9731" width="0" style="580" hidden="1" customWidth="1"/>
    <col min="9732" max="9732" width="9.7109375" style="580" customWidth="1"/>
    <col min="9733" max="9733" width="21.140625" style="580" customWidth="1"/>
    <col min="9734" max="9734" width="18" style="580" customWidth="1"/>
    <col min="9735" max="9735" width="14.85546875" style="580" bestFit="1" customWidth="1"/>
    <col min="9736" max="9736" width="9.140625" style="580"/>
    <col min="9737" max="9737" width="12.7109375" style="580" customWidth="1"/>
    <col min="9738" max="9984" width="9.140625" style="580"/>
    <col min="9985" max="9985" width="5.140625" style="580" customWidth="1"/>
    <col min="9986" max="9986" width="48.7109375" style="580" customWidth="1"/>
    <col min="9987" max="9987" width="0" style="580" hidden="1" customWidth="1"/>
    <col min="9988" max="9988" width="9.7109375" style="580" customWidth="1"/>
    <col min="9989" max="9989" width="21.140625" style="580" customWidth="1"/>
    <col min="9990" max="9990" width="18" style="580" customWidth="1"/>
    <col min="9991" max="9991" width="14.85546875" style="580" bestFit="1" customWidth="1"/>
    <col min="9992" max="9992" width="9.140625" style="580"/>
    <col min="9993" max="9993" width="12.7109375" style="580" customWidth="1"/>
    <col min="9994" max="10240" width="9.140625" style="580"/>
    <col min="10241" max="10241" width="5.140625" style="580" customWidth="1"/>
    <col min="10242" max="10242" width="48.7109375" style="580" customWidth="1"/>
    <col min="10243" max="10243" width="0" style="580" hidden="1" customWidth="1"/>
    <col min="10244" max="10244" width="9.7109375" style="580" customWidth="1"/>
    <col min="10245" max="10245" width="21.140625" style="580" customWidth="1"/>
    <col min="10246" max="10246" width="18" style="580" customWidth="1"/>
    <col min="10247" max="10247" width="14.85546875" style="580" bestFit="1" customWidth="1"/>
    <col min="10248" max="10248" width="9.140625" style="580"/>
    <col min="10249" max="10249" width="12.7109375" style="580" customWidth="1"/>
    <col min="10250" max="10496" width="9.140625" style="580"/>
    <col min="10497" max="10497" width="5.140625" style="580" customWidth="1"/>
    <col min="10498" max="10498" width="48.7109375" style="580" customWidth="1"/>
    <col min="10499" max="10499" width="0" style="580" hidden="1" customWidth="1"/>
    <col min="10500" max="10500" width="9.7109375" style="580" customWidth="1"/>
    <col min="10501" max="10501" width="21.140625" style="580" customWidth="1"/>
    <col min="10502" max="10502" width="18" style="580" customWidth="1"/>
    <col min="10503" max="10503" width="14.85546875" style="580" bestFit="1" customWidth="1"/>
    <col min="10504" max="10504" width="9.140625" style="580"/>
    <col min="10505" max="10505" width="12.7109375" style="580" customWidth="1"/>
    <col min="10506" max="10752" width="9.140625" style="580"/>
    <col min="10753" max="10753" width="5.140625" style="580" customWidth="1"/>
    <col min="10754" max="10754" width="48.7109375" style="580" customWidth="1"/>
    <col min="10755" max="10755" width="0" style="580" hidden="1" customWidth="1"/>
    <col min="10756" max="10756" width="9.7109375" style="580" customWidth="1"/>
    <col min="10757" max="10757" width="21.140625" style="580" customWidth="1"/>
    <col min="10758" max="10758" width="18" style="580" customWidth="1"/>
    <col min="10759" max="10759" width="14.85546875" style="580" bestFit="1" customWidth="1"/>
    <col min="10760" max="10760" width="9.140625" style="580"/>
    <col min="10761" max="10761" width="12.7109375" style="580" customWidth="1"/>
    <col min="10762" max="11008" width="9.140625" style="580"/>
    <col min="11009" max="11009" width="5.140625" style="580" customWidth="1"/>
    <col min="11010" max="11010" width="48.7109375" style="580" customWidth="1"/>
    <col min="11011" max="11011" width="0" style="580" hidden="1" customWidth="1"/>
    <col min="11012" max="11012" width="9.7109375" style="580" customWidth="1"/>
    <col min="11013" max="11013" width="21.140625" style="580" customWidth="1"/>
    <col min="11014" max="11014" width="18" style="580" customWidth="1"/>
    <col min="11015" max="11015" width="14.85546875" style="580" bestFit="1" customWidth="1"/>
    <col min="11016" max="11016" width="9.140625" style="580"/>
    <col min="11017" max="11017" width="12.7109375" style="580" customWidth="1"/>
    <col min="11018" max="11264" width="9.140625" style="580"/>
    <col min="11265" max="11265" width="5.140625" style="580" customWidth="1"/>
    <col min="11266" max="11266" width="48.7109375" style="580" customWidth="1"/>
    <col min="11267" max="11267" width="0" style="580" hidden="1" customWidth="1"/>
    <col min="11268" max="11268" width="9.7109375" style="580" customWidth="1"/>
    <col min="11269" max="11269" width="21.140625" style="580" customWidth="1"/>
    <col min="11270" max="11270" width="18" style="580" customWidth="1"/>
    <col min="11271" max="11271" width="14.85546875" style="580" bestFit="1" customWidth="1"/>
    <col min="11272" max="11272" width="9.140625" style="580"/>
    <col min="11273" max="11273" width="12.7109375" style="580" customWidth="1"/>
    <col min="11274" max="11520" width="9.140625" style="580"/>
    <col min="11521" max="11521" width="5.140625" style="580" customWidth="1"/>
    <col min="11522" max="11522" width="48.7109375" style="580" customWidth="1"/>
    <col min="11523" max="11523" width="0" style="580" hidden="1" customWidth="1"/>
    <col min="11524" max="11524" width="9.7109375" style="580" customWidth="1"/>
    <col min="11525" max="11525" width="21.140625" style="580" customWidth="1"/>
    <col min="11526" max="11526" width="18" style="580" customWidth="1"/>
    <col min="11527" max="11527" width="14.85546875" style="580" bestFit="1" customWidth="1"/>
    <col min="11528" max="11528" width="9.140625" style="580"/>
    <col min="11529" max="11529" width="12.7109375" style="580" customWidth="1"/>
    <col min="11530" max="11776" width="9.140625" style="580"/>
    <col min="11777" max="11777" width="5.140625" style="580" customWidth="1"/>
    <col min="11778" max="11778" width="48.7109375" style="580" customWidth="1"/>
    <col min="11779" max="11779" width="0" style="580" hidden="1" customWidth="1"/>
    <col min="11780" max="11780" width="9.7109375" style="580" customWidth="1"/>
    <col min="11781" max="11781" width="21.140625" style="580" customWidth="1"/>
    <col min="11782" max="11782" width="18" style="580" customWidth="1"/>
    <col min="11783" max="11783" width="14.85546875" style="580" bestFit="1" customWidth="1"/>
    <col min="11784" max="11784" width="9.140625" style="580"/>
    <col min="11785" max="11785" width="12.7109375" style="580" customWidth="1"/>
    <col min="11786" max="12032" width="9.140625" style="580"/>
    <col min="12033" max="12033" width="5.140625" style="580" customWidth="1"/>
    <col min="12034" max="12034" width="48.7109375" style="580" customWidth="1"/>
    <col min="12035" max="12035" width="0" style="580" hidden="1" customWidth="1"/>
    <col min="12036" max="12036" width="9.7109375" style="580" customWidth="1"/>
    <col min="12037" max="12037" width="21.140625" style="580" customWidth="1"/>
    <col min="12038" max="12038" width="18" style="580" customWidth="1"/>
    <col min="12039" max="12039" width="14.85546875" style="580" bestFit="1" customWidth="1"/>
    <col min="12040" max="12040" width="9.140625" style="580"/>
    <col min="12041" max="12041" width="12.7109375" style="580" customWidth="1"/>
    <col min="12042" max="12288" width="9.140625" style="580"/>
    <col min="12289" max="12289" width="5.140625" style="580" customWidth="1"/>
    <col min="12290" max="12290" width="48.7109375" style="580" customWidth="1"/>
    <col min="12291" max="12291" width="0" style="580" hidden="1" customWidth="1"/>
    <col min="12292" max="12292" width="9.7109375" style="580" customWidth="1"/>
    <col min="12293" max="12293" width="21.140625" style="580" customWidth="1"/>
    <col min="12294" max="12294" width="18" style="580" customWidth="1"/>
    <col min="12295" max="12295" width="14.85546875" style="580" bestFit="1" customWidth="1"/>
    <col min="12296" max="12296" width="9.140625" style="580"/>
    <col min="12297" max="12297" width="12.7109375" style="580" customWidth="1"/>
    <col min="12298" max="12544" width="9.140625" style="580"/>
    <col min="12545" max="12545" width="5.140625" style="580" customWidth="1"/>
    <col min="12546" max="12546" width="48.7109375" style="580" customWidth="1"/>
    <col min="12547" max="12547" width="0" style="580" hidden="1" customWidth="1"/>
    <col min="12548" max="12548" width="9.7109375" style="580" customWidth="1"/>
    <col min="12549" max="12549" width="21.140625" style="580" customWidth="1"/>
    <col min="12550" max="12550" width="18" style="580" customWidth="1"/>
    <col min="12551" max="12551" width="14.85546875" style="580" bestFit="1" customWidth="1"/>
    <col min="12552" max="12552" width="9.140625" style="580"/>
    <col min="12553" max="12553" width="12.7109375" style="580" customWidth="1"/>
    <col min="12554" max="12800" width="9.140625" style="580"/>
    <col min="12801" max="12801" width="5.140625" style="580" customWidth="1"/>
    <col min="12802" max="12802" width="48.7109375" style="580" customWidth="1"/>
    <col min="12803" max="12803" width="0" style="580" hidden="1" customWidth="1"/>
    <col min="12804" max="12804" width="9.7109375" style="580" customWidth="1"/>
    <col min="12805" max="12805" width="21.140625" style="580" customWidth="1"/>
    <col min="12806" max="12806" width="18" style="580" customWidth="1"/>
    <col min="12807" max="12807" width="14.85546875" style="580" bestFit="1" customWidth="1"/>
    <col min="12808" max="12808" width="9.140625" style="580"/>
    <col min="12809" max="12809" width="12.7109375" style="580" customWidth="1"/>
    <col min="12810" max="13056" width="9.140625" style="580"/>
    <col min="13057" max="13057" width="5.140625" style="580" customWidth="1"/>
    <col min="13058" max="13058" width="48.7109375" style="580" customWidth="1"/>
    <col min="13059" max="13059" width="0" style="580" hidden="1" customWidth="1"/>
    <col min="13060" max="13060" width="9.7109375" style="580" customWidth="1"/>
    <col min="13061" max="13061" width="21.140625" style="580" customWidth="1"/>
    <col min="13062" max="13062" width="18" style="580" customWidth="1"/>
    <col min="13063" max="13063" width="14.85546875" style="580" bestFit="1" customWidth="1"/>
    <col min="13064" max="13064" width="9.140625" style="580"/>
    <col min="13065" max="13065" width="12.7109375" style="580" customWidth="1"/>
    <col min="13066" max="13312" width="9.140625" style="580"/>
    <col min="13313" max="13313" width="5.140625" style="580" customWidth="1"/>
    <col min="13314" max="13314" width="48.7109375" style="580" customWidth="1"/>
    <col min="13315" max="13315" width="0" style="580" hidden="1" customWidth="1"/>
    <col min="13316" max="13316" width="9.7109375" style="580" customWidth="1"/>
    <col min="13317" max="13317" width="21.140625" style="580" customWidth="1"/>
    <col min="13318" max="13318" width="18" style="580" customWidth="1"/>
    <col min="13319" max="13319" width="14.85546875" style="580" bestFit="1" customWidth="1"/>
    <col min="13320" max="13320" width="9.140625" style="580"/>
    <col min="13321" max="13321" width="12.7109375" style="580" customWidth="1"/>
    <col min="13322" max="13568" width="9.140625" style="580"/>
    <col min="13569" max="13569" width="5.140625" style="580" customWidth="1"/>
    <col min="13570" max="13570" width="48.7109375" style="580" customWidth="1"/>
    <col min="13571" max="13571" width="0" style="580" hidden="1" customWidth="1"/>
    <col min="13572" max="13572" width="9.7109375" style="580" customWidth="1"/>
    <col min="13573" max="13573" width="21.140625" style="580" customWidth="1"/>
    <col min="13574" max="13574" width="18" style="580" customWidth="1"/>
    <col min="13575" max="13575" width="14.85546875" style="580" bestFit="1" customWidth="1"/>
    <col min="13576" max="13576" width="9.140625" style="580"/>
    <col min="13577" max="13577" width="12.7109375" style="580" customWidth="1"/>
    <col min="13578" max="13824" width="9.140625" style="580"/>
    <col min="13825" max="13825" width="5.140625" style="580" customWidth="1"/>
    <col min="13826" max="13826" width="48.7109375" style="580" customWidth="1"/>
    <col min="13827" max="13827" width="0" style="580" hidden="1" customWidth="1"/>
    <col min="13828" max="13828" width="9.7109375" style="580" customWidth="1"/>
    <col min="13829" max="13829" width="21.140625" style="580" customWidth="1"/>
    <col min="13830" max="13830" width="18" style="580" customWidth="1"/>
    <col min="13831" max="13831" width="14.85546875" style="580" bestFit="1" customWidth="1"/>
    <col min="13832" max="13832" width="9.140625" style="580"/>
    <col min="13833" max="13833" width="12.7109375" style="580" customWidth="1"/>
    <col min="13834" max="14080" width="9.140625" style="580"/>
    <col min="14081" max="14081" width="5.140625" style="580" customWidth="1"/>
    <col min="14082" max="14082" width="48.7109375" style="580" customWidth="1"/>
    <col min="14083" max="14083" width="0" style="580" hidden="1" customWidth="1"/>
    <col min="14084" max="14084" width="9.7109375" style="580" customWidth="1"/>
    <col min="14085" max="14085" width="21.140625" style="580" customWidth="1"/>
    <col min="14086" max="14086" width="18" style="580" customWidth="1"/>
    <col min="14087" max="14087" width="14.85546875" style="580" bestFit="1" customWidth="1"/>
    <col min="14088" max="14088" width="9.140625" style="580"/>
    <col min="14089" max="14089" width="12.7109375" style="580" customWidth="1"/>
    <col min="14090" max="14336" width="9.140625" style="580"/>
    <col min="14337" max="14337" width="5.140625" style="580" customWidth="1"/>
    <col min="14338" max="14338" width="48.7109375" style="580" customWidth="1"/>
    <col min="14339" max="14339" width="0" style="580" hidden="1" customWidth="1"/>
    <col min="14340" max="14340" width="9.7109375" style="580" customWidth="1"/>
    <col min="14341" max="14341" width="21.140625" style="580" customWidth="1"/>
    <col min="14342" max="14342" width="18" style="580" customWidth="1"/>
    <col min="14343" max="14343" width="14.85546875" style="580" bestFit="1" customWidth="1"/>
    <col min="14344" max="14344" width="9.140625" style="580"/>
    <col min="14345" max="14345" width="12.7109375" style="580" customWidth="1"/>
    <col min="14346" max="14592" width="9.140625" style="580"/>
    <col min="14593" max="14593" width="5.140625" style="580" customWidth="1"/>
    <col min="14594" max="14594" width="48.7109375" style="580" customWidth="1"/>
    <col min="14595" max="14595" width="0" style="580" hidden="1" customWidth="1"/>
    <col min="14596" max="14596" width="9.7109375" style="580" customWidth="1"/>
    <col min="14597" max="14597" width="21.140625" style="580" customWidth="1"/>
    <col min="14598" max="14598" width="18" style="580" customWidth="1"/>
    <col min="14599" max="14599" width="14.85546875" style="580" bestFit="1" customWidth="1"/>
    <col min="14600" max="14600" width="9.140625" style="580"/>
    <col min="14601" max="14601" width="12.7109375" style="580" customWidth="1"/>
    <col min="14602" max="14848" width="9.140625" style="580"/>
    <col min="14849" max="14849" width="5.140625" style="580" customWidth="1"/>
    <col min="14850" max="14850" width="48.7109375" style="580" customWidth="1"/>
    <col min="14851" max="14851" width="0" style="580" hidden="1" customWidth="1"/>
    <col min="14852" max="14852" width="9.7109375" style="580" customWidth="1"/>
    <col min="14853" max="14853" width="21.140625" style="580" customWidth="1"/>
    <col min="14854" max="14854" width="18" style="580" customWidth="1"/>
    <col min="14855" max="14855" width="14.85546875" style="580" bestFit="1" customWidth="1"/>
    <col min="14856" max="14856" width="9.140625" style="580"/>
    <col min="14857" max="14857" width="12.7109375" style="580" customWidth="1"/>
    <col min="14858" max="15104" width="9.140625" style="580"/>
    <col min="15105" max="15105" width="5.140625" style="580" customWidth="1"/>
    <col min="15106" max="15106" width="48.7109375" style="580" customWidth="1"/>
    <col min="15107" max="15107" width="0" style="580" hidden="1" customWidth="1"/>
    <col min="15108" max="15108" width="9.7109375" style="580" customWidth="1"/>
    <col min="15109" max="15109" width="21.140625" style="580" customWidth="1"/>
    <col min="15110" max="15110" width="18" style="580" customWidth="1"/>
    <col min="15111" max="15111" width="14.85546875" style="580" bestFit="1" customWidth="1"/>
    <col min="15112" max="15112" width="9.140625" style="580"/>
    <col min="15113" max="15113" width="12.7109375" style="580" customWidth="1"/>
    <col min="15114" max="15360" width="9.140625" style="580"/>
    <col min="15361" max="15361" width="5.140625" style="580" customWidth="1"/>
    <col min="15362" max="15362" width="48.7109375" style="580" customWidth="1"/>
    <col min="15363" max="15363" width="0" style="580" hidden="1" customWidth="1"/>
    <col min="15364" max="15364" width="9.7109375" style="580" customWidth="1"/>
    <col min="15365" max="15365" width="21.140625" style="580" customWidth="1"/>
    <col min="15366" max="15366" width="18" style="580" customWidth="1"/>
    <col min="15367" max="15367" width="14.85546875" style="580" bestFit="1" customWidth="1"/>
    <col min="15368" max="15368" width="9.140625" style="580"/>
    <col min="15369" max="15369" width="12.7109375" style="580" customWidth="1"/>
    <col min="15370" max="15616" width="9.140625" style="580"/>
    <col min="15617" max="15617" width="5.140625" style="580" customWidth="1"/>
    <col min="15618" max="15618" width="48.7109375" style="580" customWidth="1"/>
    <col min="15619" max="15619" width="0" style="580" hidden="1" customWidth="1"/>
    <col min="15620" max="15620" width="9.7109375" style="580" customWidth="1"/>
    <col min="15621" max="15621" width="21.140625" style="580" customWidth="1"/>
    <col min="15622" max="15622" width="18" style="580" customWidth="1"/>
    <col min="15623" max="15623" width="14.85546875" style="580" bestFit="1" customWidth="1"/>
    <col min="15624" max="15624" width="9.140625" style="580"/>
    <col min="15625" max="15625" width="12.7109375" style="580" customWidth="1"/>
    <col min="15626" max="15872" width="9.140625" style="580"/>
    <col min="15873" max="15873" width="5.140625" style="580" customWidth="1"/>
    <col min="15874" max="15874" width="48.7109375" style="580" customWidth="1"/>
    <col min="15875" max="15875" width="0" style="580" hidden="1" customWidth="1"/>
    <col min="15876" max="15876" width="9.7109375" style="580" customWidth="1"/>
    <col min="15877" max="15877" width="21.140625" style="580" customWidth="1"/>
    <col min="15878" max="15878" width="18" style="580" customWidth="1"/>
    <col min="15879" max="15879" width="14.85546875" style="580" bestFit="1" customWidth="1"/>
    <col min="15880" max="15880" width="9.140625" style="580"/>
    <col min="15881" max="15881" width="12.7109375" style="580" customWidth="1"/>
    <col min="15882" max="16128" width="9.140625" style="580"/>
    <col min="16129" max="16129" width="5.140625" style="580" customWidth="1"/>
    <col min="16130" max="16130" width="48.7109375" style="580" customWidth="1"/>
    <col min="16131" max="16131" width="0" style="580" hidden="1" customWidth="1"/>
    <col min="16132" max="16132" width="9.7109375" style="580" customWidth="1"/>
    <col min="16133" max="16133" width="21.140625" style="580" customWidth="1"/>
    <col min="16134" max="16134" width="18" style="580" customWidth="1"/>
    <col min="16135" max="16135" width="14.85546875" style="580" bestFit="1" customWidth="1"/>
    <col min="16136" max="16136" width="9.140625" style="580"/>
    <col min="16137" max="16137" width="12.7109375" style="580" customWidth="1"/>
    <col min="16138" max="16384" width="9.140625" style="580"/>
  </cols>
  <sheetData>
    <row r="1" spans="1:19" s="1654" customFormat="1" ht="18.75" customHeight="1" x14ac:dyDescent="0.2">
      <c r="B1" s="1655"/>
      <c r="D1" s="1656"/>
      <c r="E1" s="1657"/>
      <c r="F1" s="484"/>
      <c r="G1" s="1655"/>
    </row>
    <row r="2" spans="1:19" s="1654" customFormat="1" ht="18.75" customHeight="1" x14ac:dyDescent="0.2">
      <c r="B2" s="1655"/>
      <c r="D2" s="1656"/>
      <c r="E2" s="2275"/>
      <c r="F2" s="2275"/>
      <c r="G2" s="1655"/>
    </row>
    <row r="3" spans="1:19" s="1654" customFormat="1" ht="18.75" customHeight="1" x14ac:dyDescent="0.2">
      <c r="B3" s="1655"/>
      <c r="D3" s="1656"/>
      <c r="E3" s="2276"/>
      <c r="F3" s="2277"/>
      <c r="G3" s="1655"/>
    </row>
    <row r="4" spans="1:19" s="1654" customFormat="1" ht="15.75" customHeight="1" x14ac:dyDescent="0.2">
      <c r="B4" s="1655"/>
      <c r="D4" s="1656"/>
      <c r="E4" s="1658"/>
      <c r="G4" s="1655"/>
    </row>
    <row r="5" spans="1:19" s="1654" customFormat="1" ht="21.75" customHeight="1" x14ac:dyDescent="0.2">
      <c r="A5" s="2278" t="s">
        <v>0</v>
      </c>
      <c r="B5" s="2278"/>
      <c r="C5" s="2278"/>
      <c r="D5" s="2278"/>
      <c r="E5" s="2278"/>
      <c r="F5" s="2278"/>
      <c r="G5" s="1659"/>
    </row>
    <row r="6" spans="1:19" ht="38.25" customHeight="1" x14ac:dyDescent="0.25">
      <c r="A6" s="2279" t="s">
        <v>697</v>
      </c>
      <c r="B6" s="2279"/>
      <c r="C6" s="2279"/>
      <c r="D6" s="2279"/>
      <c r="E6" s="2279"/>
      <c r="F6" s="2279"/>
      <c r="G6" s="1256"/>
      <c r="H6" s="1660"/>
      <c r="I6" s="1660"/>
      <c r="J6" s="1660"/>
      <c r="K6" s="1660"/>
      <c r="L6" s="1660"/>
      <c r="M6" s="1660"/>
      <c r="N6" s="1660"/>
      <c r="O6" s="1660"/>
      <c r="P6" s="1660"/>
      <c r="Q6" s="1660"/>
      <c r="R6" s="1660"/>
      <c r="S6" s="1660"/>
    </row>
    <row r="7" spans="1:19" ht="27.75" customHeight="1" x14ac:dyDescent="0.2">
      <c r="A7" s="2259" t="str">
        <f>' ССР (нов)'!A6:G6</f>
        <v xml:space="preserve">Реконструкция теплового ввода </v>
      </c>
      <c r="B7" s="2259"/>
      <c r="C7" s="2259"/>
      <c r="D7" s="2259"/>
      <c r="E7" s="2259"/>
      <c r="F7" s="2259"/>
      <c r="G7" s="1699"/>
      <c r="H7" s="1660"/>
      <c r="I7" s="1660"/>
      <c r="J7" s="1660"/>
      <c r="K7" s="1660"/>
      <c r="L7" s="1660"/>
      <c r="M7" s="1660"/>
      <c r="N7" s="1660"/>
      <c r="O7" s="1660"/>
      <c r="P7" s="1660"/>
      <c r="Q7" s="1660"/>
      <c r="R7" s="1660"/>
      <c r="S7" s="1660"/>
    </row>
    <row r="8" spans="1:19" ht="21" customHeight="1" x14ac:dyDescent="0.25">
      <c r="A8" s="2264" t="str">
        <f>' ССР (нов)'!A7:G7</f>
        <v>г. Москва , ул. Мневники д.4</v>
      </c>
      <c r="B8" s="2264"/>
      <c r="C8" s="2264"/>
      <c r="D8" s="2264"/>
      <c r="E8" s="2264"/>
      <c r="F8" s="2264"/>
      <c r="G8" s="1700"/>
      <c r="H8" s="1256"/>
      <c r="I8" s="482"/>
    </row>
    <row r="9" spans="1:19" ht="11.25" customHeight="1" thickBot="1" x14ac:dyDescent="0.25">
      <c r="A9" s="482"/>
      <c r="B9" s="1538"/>
      <c r="C9" s="1538"/>
      <c r="D9" s="1538"/>
      <c r="E9" s="1661"/>
      <c r="F9" s="1538"/>
      <c r="G9" s="482"/>
      <c r="H9" s="482"/>
      <c r="I9" s="482"/>
    </row>
    <row r="10" spans="1:19" ht="38.25" x14ac:dyDescent="0.2">
      <c r="A10" s="1662" t="s">
        <v>31</v>
      </c>
      <c r="B10" s="1663" t="s">
        <v>309</v>
      </c>
      <c r="C10" s="1664" t="s">
        <v>698</v>
      </c>
      <c r="D10" s="1665" t="s">
        <v>699</v>
      </c>
      <c r="E10" s="1666" t="s">
        <v>700</v>
      </c>
      <c r="F10" s="1667" t="s">
        <v>701</v>
      </c>
    </row>
    <row r="11" spans="1:19" ht="61.5" customHeight="1" x14ac:dyDescent="0.2">
      <c r="A11" s="2280" t="s">
        <v>702</v>
      </c>
      <c r="B11" s="2281"/>
      <c r="C11" s="2281"/>
      <c r="D11" s="2281"/>
      <c r="E11" s="2281"/>
      <c r="F11" s="2282"/>
    </row>
    <row r="12" spans="1:19" ht="21" customHeight="1" x14ac:dyDescent="0.2">
      <c r="A12" s="2272" t="s">
        <v>703</v>
      </c>
      <c r="B12" s="2273"/>
      <c r="C12" s="2273"/>
      <c r="D12" s="2273"/>
      <c r="E12" s="2273"/>
      <c r="F12" s="2274"/>
    </row>
    <row r="13" spans="1:19" ht="75" x14ac:dyDescent="0.2">
      <c r="A13" s="1669">
        <v>1</v>
      </c>
      <c r="B13" s="1670" t="s">
        <v>704</v>
      </c>
      <c r="C13" s="1671"/>
      <c r="D13" s="1672"/>
      <c r="E13" s="1538"/>
      <c r="F13" s="1673"/>
    </row>
    <row r="14" spans="1:19" ht="18.75" customHeight="1" x14ac:dyDescent="0.2">
      <c r="A14" s="1669"/>
      <c r="B14" s="1670" t="s">
        <v>705</v>
      </c>
      <c r="C14" s="1671"/>
      <c r="D14" s="1672"/>
      <c r="E14" s="1698">
        <f>I14</f>
        <v>518651.2</v>
      </c>
      <c r="F14" s="1673"/>
      <c r="G14" s="1674"/>
      <c r="H14" s="1674"/>
      <c r="I14" s="1668">
        <f>Т.с.!H66+Т.с.!H75+Т.с.!H88+ПОЖ!H17+РДП!H24</f>
        <v>518651.2</v>
      </c>
    </row>
    <row r="15" spans="1:19" ht="75" x14ac:dyDescent="0.2">
      <c r="A15" s="1669">
        <v>2</v>
      </c>
      <c r="B15" s="1670" t="s">
        <v>706</v>
      </c>
      <c r="C15" s="1671"/>
      <c r="D15" s="1675">
        <v>2.6499999999999999E-2</v>
      </c>
      <c r="E15" s="1697" t="str">
        <f>CONCATENATE(E14,"*",D15,)</f>
        <v>518651,2*0,0265</v>
      </c>
      <c r="F15" s="1677">
        <f>ROUND(E14*D15,2)</f>
        <v>13744.26</v>
      </c>
      <c r="G15" s="1678"/>
    </row>
    <row r="16" spans="1:19" ht="45" x14ac:dyDescent="0.2">
      <c r="A16" s="1669">
        <v>3</v>
      </c>
      <c r="B16" s="1670" t="s">
        <v>707</v>
      </c>
      <c r="C16" s="1671"/>
      <c r="D16" s="1675">
        <v>1</v>
      </c>
      <c r="E16" s="1676"/>
      <c r="F16" s="1677"/>
    </row>
    <row r="17" spans="1:7" ht="45" hidden="1" x14ac:dyDescent="0.25">
      <c r="A17" s="1669"/>
      <c r="B17" s="1670" t="s">
        <v>708</v>
      </c>
      <c r="C17" s="1671"/>
      <c r="D17" s="1679">
        <v>1</v>
      </c>
      <c r="E17" s="1676"/>
      <c r="F17" s="1677"/>
      <c r="G17" s="1256"/>
    </row>
    <row r="18" spans="1:7" ht="25.5" customHeight="1" x14ac:dyDescent="0.2">
      <c r="A18" s="1669"/>
      <c r="B18" s="252" t="s">
        <v>307</v>
      </c>
      <c r="C18" s="1671"/>
      <c r="D18" s="1675"/>
      <c r="E18" s="648"/>
      <c r="F18" s="1680">
        <f>F15</f>
        <v>13744.26</v>
      </c>
      <c r="G18" s="1681"/>
    </row>
    <row r="19" spans="1:7" ht="25.5" hidden="1" customHeight="1" x14ac:dyDescent="0.2">
      <c r="A19" s="1669"/>
      <c r="B19" s="1682" t="s">
        <v>709</v>
      </c>
      <c r="C19" s="1683"/>
      <c r="D19" s="1675">
        <v>0.18</v>
      </c>
      <c r="E19" s="1696" t="s">
        <v>710</v>
      </c>
      <c r="F19" s="1680">
        <v>3095.53</v>
      </c>
      <c r="G19" s="1678"/>
    </row>
    <row r="20" spans="1:7" ht="25.5" hidden="1" customHeight="1" thickBot="1" x14ac:dyDescent="0.25">
      <c r="A20" s="1684"/>
      <c r="B20" s="1685" t="s">
        <v>711</v>
      </c>
      <c r="C20" s="1686"/>
      <c r="D20" s="1687"/>
      <c r="E20" s="1688"/>
      <c r="F20" s="1689">
        <v>20292.939999999999</v>
      </c>
    </row>
    <row r="21" spans="1:7" ht="9" customHeight="1" x14ac:dyDescent="0.2"/>
    <row r="22" spans="1:7" x14ac:dyDescent="0.2">
      <c r="A22" s="1692"/>
      <c r="B22" s="1693"/>
      <c r="C22" s="1694"/>
      <c r="D22" s="1695"/>
      <c r="E22" s="580"/>
      <c r="F22" s="1692"/>
      <c r="G22" s="580"/>
    </row>
  </sheetData>
  <mergeCells count="8">
    <mergeCell ref="A12:F12"/>
    <mergeCell ref="A7:F7"/>
    <mergeCell ref="E2:F2"/>
    <mergeCell ref="E3:F3"/>
    <mergeCell ref="A5:F5"/>
    <mergeCell ref="A6:F6"/>
    <mergeCell ref="A8:F8"/>
    <mergeCell ref="A11:F11"/>
  </mergeCells>
  <conditionalFormatting sqref="G14:H14">
    <cfRule type="expression" dxfId="0" priority="1" stopIfTrue="1">
      <formula>IF($EW14&lt;$EK14,1,0)</formula>
    </cfRule>
  </conditionalFormatting>
  <pageMargins left="0.7" right="0.7" top="0.75" bottom="0.75" header="0.3" footer="0.3"/>
  <pageSetup paperSize="9" scale="85" orientation="portrait" r:id="rId1"/>
  <colBreaks count="1" manualBreakCount="1">
    <brk id="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Q74"/>
  <sheetViews>
    <sheetView view="pageBreakPreview" zoomScaleNormal="100" zoomScaleSheetLayoutView="100" workbookViewId="0">
      <selection activeCell="I26" sqref="I5:I26"/>
    </sheetView>
  </sheetViews>
  <sheetFormatPr defaultRowHeight="15.75" x14ac:dyDescent="0.2"/>
  <cols>
    <col min="1" max="1" width="6.140625" style="1702" bestFit="1" customWidth="1"/>
    <col min="2" max="2" width="34.5703125" style="1702" customWidth="1"/>
    <col min="3" max="3" width="10.140625" style="1702" customWidth="1"/>
    <col min="4" max="4" width="16.28515625" style="1757" customWidth="1"/>
    <col min="5" max="5" width="9.28515625" style="1757" customWidth="1"/>
    <col min="6" max="6" width="31.140625" style="1757" customWidth="1"/>
    <col min="7" max="7" width="17.85546875" style="1757" customWidth="1"/>
    <col min="8" max="8" width="19.85546875" style="1757" customWidth="1"/>
    <col min="9" max="9" width="17" style="1702" customWidth="1"/>
    <col min="10" max="10" width="13.140625" style="1702" bestFit="1" customWidth="1"/>
    <col min="11" max="11" width="17.28515625" style="1702" customWidth="1"/>
    <col min="12" max="12" width="21" style="1702" customWidth="1"/>
    <col min="13" max="256" width="9.140625" style="1702"/>
    <col min="257" max="257" width="6.140625" style="1702" bestFit="1" customWidth="1"/>
    <col min="258" max="258" width="34.5703125" style="1702" customWidth="1"/>
    <col min="259" max="259" width="10.140625" style="1702" customWidth="1"/>
    <col min="260" max="260" width="16.28515625" style="1702" customWidth="1"/>
    <col min="261" max="261" width="9.28515625" style="1702" customWidth="1"/>
    <col min="262" max="262" width="31.140625" style="1702" customWidth="1"/>
    <col min="263" max="263" width="17.85546875" style="1702" customWidth="1"/>
    <col min="264" max="264" width="19.85546875" style="1702" customWidth="1"/>
    <col min="265" max="265" width="17" style="1702" customWidth="1"/>
    <col min="266" max="266" width="13.140625" style="1702" bestFit="1" customWidth="1"/>
    <col min="267" max="267" width="17.28515625" style="1702" customWidth="1"/>
    <col min="268" max="268" width="21" style="1702" customWidth="1"/>
    <col min="269" max="512" width="9.140625" style="1702"/>
    <col min="513" max="513" width="6.140625" style="1702" bestFit="1" customWidth="1"/>
    <col min="514" max="514" width="34.5703125" style="1702" customWidth="1"/>
    <col min="515" max="515" width="10.140625" style="1702" customWidth="1"/>
    <col min="516" max="516" width="16.28515625" style="1702" customWidth="1"/>
    <col min="517" max="517" width="9.28515625" style="1702" customWidth="1"/>
    <col min="518" max="518" width="31.140625" style="1702" customWidth="1"/>
    <col min="519" max="519" width="17.85546875" style="1702" customWidth="1"/>
    <col min="520" max="520" width="19.85546875" style="1702" customWidth="1"/>
    <col min="521" max="521" width="17" style="1702" customWidth="1"/>
    <col min="522" max="522" width="13.140625" style="1702" bestFit="1" customWidth="1"/>
    <col min="523" max="523" width="17.28515625" style="1702" customWidth="1"/>
    <col min="524" max="524" width="21" style="1702" customWidth="1"/>
    <col min="525" max="768" width="9.140625" style="1702"/>
    <col min="769" max="769" width="6.140625" style="1702" bestFit="1" customWidth="1"/>
    <col min="770" max="770" width="34.5703125" style="1702" customWidth="1"/>
    <col min="771" max="771" width="10.140625" style="1702" customWidth="1"/>
    <col min="772" max="772" width="16.28515625" style="1702" customWidth="1"/>
    <col min="773" max="773" width="9.28515625" style="1702" customWidth="1"/>
    <col min="774" max="774" width="31.140625" style="1702" customWidth="1"/>
    <col min="775" max="775" width="17.85546875" style="1702" customWidth="1"/>
    <col min="776" max="776" width="19.85546875" style="1702" customWidth="1"/>
    <col min="777" max="777" width="17" style="1702" customWidth="1"/>
    <col min="778" max="778" width="13.140625" style="1702" bestFit="1" customWidth="1"/>
    <col min="779" max="779" width="17.28515625" style="1702" customWidth="1"/>
    <col min="780" max="780" width="21" style="1702" customWidth="1"/>
    <col min="781" max="1024" width="9.140625" style="1702"/>
    <col min="1025" max="1025" width="6.140625" style="1702" bestFit="1" customWidth="1"/>
    <col min="1026" max="1026" width="34.5703125" style="1702" customWidth="1"/>
    <col min="1027" max="1027" width="10.140625" style="1702" customWidth="1"/>
    <col min="1028" max="1028" width="16.28515625" style="1702" customWidth="1"/>
    <col min="1029" max="1029" width="9.28515625" style="1702" customWidth="1"/>
    <col min="1030" max="1030" width="31.140625" style="1702" customWidth="1"/>
    <col min="1031" max="1031" width="17.85546875" style="1702" customWidth="1"/>
    <col min="1032" max="1032" width="19.85546875" style="1702" customWidth="1"/>
    <col min="1033" max="1033" width="17" style="1702" customWidth="1"/>
    <col min="1034" max="1034" width="13.140625" style="1702" bestFit="1" customWidth="1"/>
    <col min="1035" max="1035" width="17.28515625" style="1702" customWidth="1"/>
    <col min="1036" max="1036" width="21" style="1702" customWidth="1"/>
    <col min="1037" max="1280" width="9.140625" style="1702"/>
    <col min="1281" max="1281" width="6.140625" style="1702" bestFit="1" customWidth="1"/>
    <col min="1282" max="1282" width="34.5703125" style="1702" customWidth="1"/>
    <col min="1283" max="1283" width="10.140625" style="1702" customWidth="1"/>
    <col min="1284" max="1284" width="16.28515625" style="1702" customWidth="1"/>
    <col min="1285" max="1285" width="9.28515625" style="1702" customWidth="1"/>
    <col min="1286" max="1286" width="31.140625" style="1702" customWidth="1"/>
    <col min="1287" max="1287" width="17.85546875" style="1702" customWidth="1"/>
    <col min="1288" max="1288" width="19.85546875" style="1702" customWidth="1"/>
    <col min="1289" max="1289" width="17" style="1702" customWidth="1"/>
    <col min="1290" max="1290" width="13.140625" style="1702" bestFit="1" customWidth="1"/>
    <col min="1291" max="1291" width="17.28515625" style="1702" customWidth="1"/>
    <col min="1292" max="1292" width="21" style="1702" customWidth="1"/>
    <col min="1293" max="1536" width="9.140625" style="1702"/>
    <col min="1537" max="1537" width="6.140625" style="1702" bestFit="1" customWidth="1"/>
    <col min="1538" max="1538" width="34.5703125" style="1702" customWidth="1"/>
    <col min="1539" max="1539" width="10.140625" style="1702" customWidth="1"/>
    <col min="1540" max="1540" width="16.28515625" style="1702" customWidth="1"/>
    <col min="1541" max="1541" width="9.28515625" style="1702" customWidth="1"/>
    <col min="1542" max="1542" width="31.140625" style="1702" customWidth="1"/>
    <col min="1543" max="1543" width="17.85546875" style="1702" customWidth="1"/>
    <col min="1544" max="1544" width="19.85546875" style="1702" customWidth="1"/>
    <col min="1545" max="1545" width="17" style="1702" customWidth="1"/>
    <col min="1546" max="1546" width="13.140625" style="1702" bestFit="1" customWidth="1"/>
    <col min="1547" max="1547" width="17.28515625" style="1702" customWidth="1"/>
    <col min="1548" max="1548" width="21" style="1702" customWidth="1"/>
    <col min="1549" max="1792" width="9.140625" style="1702"/>
    <col min="1793" max="1793" width="6.140625" style="1702" bestFit="1" customWidth="1"/>
    <col min="1794" max="1794" width="34.5703125" style="1702" customWidth="1"/>
    <col min="1795" max="1795" width="10.140625" style="1702" customWidth="1"/>
    <col min="1796" max="1796" width="16.28515625" style="1702" customWidth="1"/>
    <col min="1797" max="1797" width="9.28515625" style="1702" customWidth="1"/>
    <col min="1798" max="1798" width="31.140625" style="1702" customWidth="1"/>
    <col min="1799" max="1799" width="17.85546875" style="1702" customWidth="1"/>
    <col min="1800" max="1800" width="19.85546875" style="1702" customWidth="1"/>
    <col min="1801" max="1801" width="17" style="1702" customWidth="1"/>
    <col min="1802" max="1802" width="13.140625" style="1702" bestFit="1" customWidth="1"/>
    <col min="1803" max="1803" width="17.28515625" style="1702" customWidth="1"/>
    <col min="1804" max="1804" width="21" style="1702" customWidth="1"/>
    <col min="1805" max="2048" width="9.140625" style="1702"/>
    <col min="2049" max="2049" width="6.140625" style="1702" bestFit="1" customWidth="1"/>
    <col min="2050" max="2050" width="34.5703125" style="1702" customWidth="1"/>
    <col min="2051" max="2051" width="10.140625" style="1702" customWidth="1"/>
    <col min="2052" max="2052" width="16.28515625" style="1702" customWidth="1"/>
    <col min="2053" max="2053" width="9.28515625" style="1702" customWidth="1"/>
    <col min="2054" max="2054" width="31.140625" style="1702" customWidth="1"/>
    <col min="2055" max="2055" width="17.85546875" style="1702" customWidth="1"/>
    <col min="2056" max="2056" width="19.85546875" style="1702" customWidth="1"/>
    <col min="2057" max="2057" width="17" style="1702" customWidth="1"/>
    <col min="2058" max="2058" width="13.140625" style="1702" bestFit="1" customWidth="1"/>
    <col min="2059" max="2059" width="17.28515625" style="1702" customWidth="1"/>
    <col min="2060" max="2060" width="21" style="1702" customWidth="1"/>
    <col min="2061" max="2304" width="9.140625" style="1702"/>
    <col min="2305" max="2305" width="6.140625" style="1702" bestFit="1" customWidth="1"/>
    <col min="2306" max="2306" width="34.5703125" style="1702" customWidth="1"/>
    <col min="2307" max="2307" width="10.140625" style="1702" customWidth="1"/>
    <col min="2308" max="2308" width="16.28515625" style="1702" customWidth="1"/>
    <col min="2309" max="2309" width="9.28515625" style="1702" customWidth="1"/>
    <col min="2310" max="2310" width="31.140625" style="1702" customWidth="1"/>
    <col min="2311" max="2311" width="17.85546875" style="1702" customWidth="1"/>
    <col min="2312" max="2312" width="19.85546875" style="1702" customWidth="1"/>
    <col min="2313" max="2313" width="17" style="1702" customWidth="1"/>
    <col min="2314" max="2314" width="13.140625" style="1702" bestFit="1" customWidth="1"/>
    <col min="2315" max="2315" width="17.28515625" style="1702" customWidth="1"/>
    <col min="2316" max="2316" width="21" style="1702" customWidth="1"/>
    <col min="2317" max="2560" width="9.140625" style="1702"/>
    <col min="2561" max="2561" width="6.140625" style="1702" bestFit="1" customWidth="1"/>
    <col min="2562" max="2562" width="34.5703125" style="1702" customWidth="1"/>
    <col min="2563" max="2563" width="10.140625" style="1702" customWidth="1"/>
    <col min="2564" max="2564" width="16.28515625" style="1702" customWidth="1"/>
    <col min="2565" max="2565" width="9.28515625" style="1702" customWidth="1"/>
    <col min="2566" max="2566" width="31.140625" style="1702" customWidth="1"/>
    <col min="2567" max="2567" width="17.85546875" style="1702" customWidth="1"/>
    <col min="2568" max="2568" width="19.85546875" style="1702" customWidth="1"/>
    <col min="2569" max="2569" width="17" style="1702" customWidth="1"/>
    <col min="2570" max="2570" width="13.140625" style="1702" bestFit="1" customWidth="1"/>
    <col min="2571" max="2571" width="17.28515625" style="1702" customWidth="1"/>
    <col min="2572" max="2572" width="21" style="1702" customWidth="1"/>
    <col min="2573" max="2816" width="9.140625" style="1702"/>
    <col min="2817" max="2817" width="6.140625" style="1702" bestFit="1" customWidth="1"/>
    <col min="2818" max="2818" width="34.5703125" style="1702" customWidth="1"/>
    <col min="2819" max="2819" width="10.140625" style="1702" customWidth="1"/>
    <col min="2820" max="2820" width="16.28515625" style="1702" customWidth="1"/>
    <col min="2821" max="2821" width="9.28515625" style="1702" customWidth="1"/>
    <col min="2822" max="2822" width="31.140625" style="1702" customWidth="1"/>
    <col min="2823" max="2823" width="17.85546875" style="1702" customWidth="1"/>
    <col min="2824" max="2824" width="19.85546875" style="1702" customWidth="1"/>
    <col min="2825" max="2825" width="17" style="1702" customWidth="1"/>
    <col min="2826" max="2826" width="13.140625" style="1702" bestFit="1" customWidth="1"/>
    <col min="2827" max="2827" width="17.28515625" style="1702" customWidth="1"/>
    <col min="2828" max="2828" width="21" style="1702" customWidth="1"/>
    <col min="2829" max="3072" width="9.140625" style="1702"/>
    <col min="3073" max="3073" width="6.140625" style="1702" bestFit="1" customWidth="1"/>
    <col min="3074" max="3074" width="34.5703125" style="1702" customWidth="1"/>
    <col min="3075" max="3075" width="10.140625" style="1702" customWidth="1"/>
    <col min="3076" max="3076" width="16.28515625" style="1702" customWidth="1"/>
    <col min="3077" max="3077" width="9.28515625" style="1702" customWidth="1"/>
    <col min="3078" max="3078" width="31.140625" style="1702" customWidth="1"/>
    <col min="3079" max="3079" width="17.85546875" style="1702" customWidth="1"/>
    <col min="3080" max="3080" width="19.85546875" style="1702" customWidth="1"/>
    <col min="3081" max="3081" width="17" style="1702" customWidth="1"/>
    <col min="3082" max="3082" width="13.140625" style="1702" bestFit="1" customWidth="1"/>
    <col min="3083" max="3083" width="17.28515625" style="1702" customWidth="1"/>
    <col min="3084" max="3084" width="21" style="1702" customWidth="1"/>
    <col min="3085" max="3328" width="9.140625" style="1702"/>
    <col min="3329" max="3329" width="6.140625" style="1702" bestFit="1" customWidth="1"/>
    <col min="3330" max="3330" width="34.5703125" style="1702" customWidth="1"/>
    <col min="3331" max="3331" width="10.140625" style="1702" customWidth="1"/>
    <col min="3332" max="3332" width="16.28515625" style="1702" customWidth="1"/>
    <col min="3333" max="3333" width="9.28515625" style="1702" customWidth="1"/>
    <col min="3334" max="3334" width="31.140625" style="1702" customWidth="1"/>
    <col min="3335" max="3335" width="17.85546875" style="1702" customWidth="1"/>
    <col min="3336" max="3336" width="19.85546875" style="1702" customWidth="1"/>
    <col min="3337" max="3337" width="17" style="1702" customWidth="1"/>
    <col min="3338" max="3338" width="13.140625" style="1702" bestFit="1" customWidth="1"/>
    <col min="3339" max="3339" width="17.28515625" style="1702" customWidth="1"/>
    <col min="3340" max="3340" width="21" style="1702" customWidth="1"/>
    <col min="3341" max="3584" width="9.140625" style="1702"/>
    <col min="3585" max="3585" width="6.140625" style="1702" bestFit="1" customWidth="1"/>
    <col min="3586" max="3586" width="34.5703125" style="1702" customWidth="1"/>
    <col min="3587" max="3587" width="10.140625" style="1702" customWidth="1"/>
    <col min="3588" max="3588" width="16.28515625" style="1702" customWidth="1"/>
    <col min="3589" max="3589" width="9.28515625" style="1702" customWidth="1"/>
    <col min="3590" max="3590" width="31.140625" style="1702" customWidth="1"/>
    <col min="3591" max="3591" width="17.85546875" style="1702" customWidth="1"/>
    <col min="3592" max="3592" width="19.85546875" style="1702" customWidth="1"/>
    <col min="3593" max="3593" width="17" style="1702" customWidth="1"/>
    <col min="3594" max="3594" width="13.140625" style="1702" bestFit="1" customWidth="1"/>
    <col min="3595" max="3595" width="17.28515625" style="1702" customWidth="1"/>
    <col min="3596" max="3596" width="21" style="1702" customWidth="1"/>
    <col min="3597" max="3840" width="9.140625" style="1702"/>
    <col min="3841" max="3841" width="6.140625" style="1702" bestFit="1" customWidth="1"/>
    <col min="3842" max="3842" width="34.5703125" style="1702" customWidth="1"/>
    <col min="3843" max="3843" width="10.140625" style="1702" customWidth="1"/>
    <col min="3844" max="3844" width="16.28515625" style="1702" customWidth="1"/>
    <col min="3845" max="3845" width="9.28515625" style="1702" customWidth="1"/>
    <col min="3846" max="3846" width="31.140625" style="1702" customWidth="1"/>
    <col min="3847" max="3847" width="17.85546875" style="1702" customWidth="1"/>
    <col min="3848" max="3848" width="19.85546875" style="1702" customWidth="1"/>
    <col min="3849" max="3849" width="17" style="1702" customWidth="1"/>
    <col min="3850" max="3850" width="13.140625" style="1702" bestFit="1" customWidth="1"/>
    <col min="3851" max="3851" width="17.28515625" style="1702" customWidth="1"/>
    <col min="3852" max="3852" width="21" style="1702" customWidth="1"/>
    <col min="3853" max="4096" width="9.140625" style="1702"/>
    <col min="4097" max="4097" width="6.140625" style="1702" bestFit="1" customWidth="1"/>
    <col min="4098" max="4098" width="34.5703125" style="1702" customWidth="1"/>
    <col min="4099" max="4099" width="10.140625" style="1702" customWidth="1"/>
    <col min="4100" max="4100" width="16.28515625" style="1702" customWidth="1"/>
    <col min="4101" max="4101" width="9.28515625" style="1702" customWidth="1"/>
    <col min="4102" max="4102" width="31.140625" style="1702" customWidth="1"/>
    <col min="4103" max="4103" width="17.85546875" style="1702" customWidth="1"/>
    <col min="4104" max="4104" width="19.85546875" style="1702" customWidth="1"/>
    <col min="4105" max="4105" width="17" style="1702" customWidth="1"/>
    <col min="4106" max="4106" width="13.140625" style="1702" bestFit="1" customWidth="1"/>
    <col min="4107" max="4107" width="17.28515625" style="1702" customWidth="1"/>
    <col min="4108" max="4108" width="21" style="1702" customWidth="1"/>
    <col min="4109" max="4352" width="9.140625" style="1702"/>
    <col min="4353" max="4353" width="6.140625" style="1702" bestFit="1" customWidth="1"/>
    <col min="4354" max="4354" width="34.5703125" style="1702" customWidth="1"/>
    <col min="4355" max="4355" width="10.140625" style="1702" customWidth="1"/>
    <col min="4356" max="4356" width="16.28515625" style="1702" customWidth="1"/>
    <col min="4357" max="4357" width="9.28515625" style="1702" customWidth="1"/>
    <col min="4358" max="4358" width="31.140625" style="1702" customWidth="1"/>
    <col min="4359" max="4359" width="17.85546875" style="1702" customWidth="1"/>
    <col min="4360" max="4360" width="19.85546875" style="1702" customWidth="1"/>
    <col min="4361" max="4361" width="17" style="1702" customWidth="1"/>
    <col min="4362" max="4362" width="13.140625" style="1702" bestFit="1" customWidth="1"/>
    <col min="4363" max="4363" width="17.28515625" style="1702" customWidth="1"/>
    <col min="4364" max="4364" width="21" style="1702" customWidth="1"/>
    <col min="4365" max="4608" width="9.140625" style="1702"/>
    <col min="4609" max="4609" width="6.140625" style="1702" bestFit="1" customWidth="1"/>
    <col min="4610" max="4610" width="34.5703125" style="1702" customWidth="1"/>
    <col min="4611" max="4611" width="10.140625" style="1702" customWidth="1"/>
    <col min="4612" max="4612" width="16.28515625" style="1702" customWidth="1"/>
    <col min="4613" max="4613" width="9.28515625" style="1702" customWidth="1"/>
    <col min="4614" max="4614" width="31.140625" style="1702" customWidth="1"/>
    <col min="4615" max="4615" width="17.85546875" style="1702" customWidth="1"/>
    <col min="4616" max="4616" width="19.85546875" style="1702" customWidth="1"/>
    <col min="4617" max="4617" width="17" style="1702" customWidth="1"/>
    <col min="4618" max="4618" width="13.140625" style="1702" bestFit="1" customWidth="1"/>
    <col min="4619" max="4619" width="17.28515625" style="1702" customWidth="1"/>
    <col min="4620" max="4620" width="21" style="1702" customWidth="1"/>
    <col min="4621" max="4864" width="9.140625" style="1702"/>
    <col min="4865" max="4865" width="6.140625" style="1702" bestFit="1" customWidth="1"/>
    <col min="4866" max="4866" width="34.5703125" style="1702" customWidth="1"/>
    <col min="4867" max="4867" width="10.140625" style="1702" customWidth="1"/>
    <col min="4868" max="4868" width="16.28515625" style="1702" customWidth="1"/>
    <col min="4869" max="4869" width="9.28515625" style="1702" customWidth="1"/>
    <col min="4870" max="4870" width="31.140625" style="1702" customWidth="1"/>
    <col min="4871" max="4871" width="17.85546875" style="1702" customWidth="1"/>
    <col min="4872" max="4872" width="19.85546875" style="1702" customWidth="1"/>
    <col min="4873" max="4873" width="17" style="1702" customWidth="1"/>
    <col min="4874" max="4874" width="13.140625" style="1702" bestFit="1" customWidth="1"/>
    <col min="4875" max="4875" width="17.28515625" style="1702" customWidth="1"/>
    <col min="4876" max="4876" width="21" style="1702" customWidth="1"/>
    <col min="4877" max="5120" width="9.140625" style="1702"/>
    <col min="5121" max="5121" width="6.140625" style="1702" bestFit="1" customWidth="1"/>
    <col min="5122" max="5122" width="34.5703125" style="1702" customWidth="1"/>
    <col min="5123" max="5123" width="10.140625" style="1702" customWidth="1"/>
    <col min="5124" max="5124" width="16.28515625" style="1702" customWidth="1"/>
    <col min="5125" max="5125" width="9.28515625" style="1702" customWidth="1"/>
    <col min="5126" max="5126" width="31.140625" style="1702" customWidth="1"/>
    <col min="5127" max="5127" width="17.85546875" style="1702" customWidth="1"/>
    <col min="5128" max="5128" width="19.85546875" style="1702" customWidth="1"/>
    <col min="5129" max="5129" width="17" style="1702" customWidth="1"/>
    <col min="5130" max="5130" width="13.140625" style="1702" bestFit="1" customWidth="1"/>
    <col min="5131" max="5131" width="17.28515625" style="1702" customWidth="1"/>
    <col min="5132" max="5132" width="21" style="1702" customWidth="1"/>
    <col min="5133" max="5376" width="9.140625" style="1702"/>
    <col min="5377" max="5377" width="6.140625" style="1702" bestFit="1" customWidth="1"/>
    <col min="5378" max="5378" width="34.5703125" style="1702" customWidth="1"/>
    <col min="5379" max="5379" width="10.140625" style="1702" customWidth="1"/>
    <col min="5380" max="5380" width="16.28515625" style="1702" customWidth="1"/>
    <col min="5381" max="5381" width="9.28515625" style="1702" customWidth="1"/>
    <col min="5382" max="5382" width="31.140625" style="1702" customWidth="1"/>
    <col min="5383" max="5383" width="17.85546875" style="1702" customWidth="1"/>
    <col min="5384" max="5384" width="19.85546875" style="1702" customWidth="1"/>
    <col min="5385" max="5385" width="17" style="1702" customWidth="1"/>
    <col min="5386" max="5386" width="13.140625" style="1702" bestFit="1" customWidth="1"/>
    <col min="5387" max="5387" width="17.28515625" style="1702" customWidth="1"/>
    <col min="5388" max="5388" width="21" style="1702" customWidth="1"/>
    <col min="5389" max="5632" width="9.140625" style="1702"/>
    <col min="5633" max="5633" width="6.140625" style="1702" bestFit="1" customWidth="1"/>
    <col min="5634" max="5634" width="34.5703125" style="1702" customWidth="1"/>
    <col min="5635" max="5635" width="10.140625" style="1702" customWidth="1"/>
    <col min="5636" max="5636" width="16.28515625" style="1702" customWidth="1"/>
    <col min="5637" max="5637" width="9.28515625" style="1702" customWidth="1"/>
    <col min="5638" max="5638" width="31.140625" style="1702" customWidth="1"/>
    <col min="5639" max="5639" width="17.85546875" style="1702" customWidth="1"/>
    <col min="5640" max="5640" width="19.85546875" style="1702" customWidth="1"/>
    <col min="5641" max="5641" width="17" style="1702" customWidth="1"/>
    <col min="5642" max="5642" width="13.140625" style="1702" bestFit="1" customWidth="1"/>
    <col min="5643" max="5643" width="17.28515625" style="1702" customWidth="1"/>
    <col min="5644" max="5644" width="21" style="1702" customWidth="1"/>
    <col min="5645" max="5888" width="9.140625" style="1702"/>
    <col min="5889" max="5889" width="6.140625" style="1702" bestFit="1" customWidth="1"/>
    <col min="5890" max="5890" width="34.5703125" style="1702" customWidth="1"/>
    <col min="5891" max="5891" width="10.140625" style="1702" customWidth="1"/>
    <col min="5892" max="5892" width="16.28515625" style="1702" customWidth="1"/>
    <col min="5893" max="5893" width="9.28515625" style="1702" customWidth="1"/>
    <col min="5894" max="5894" width="31.140625" style="1702" customWidth="1"/>
    <col min="5895" max="5895" width="17.85546875" style="1702" customWidth="1"/>
    <col min="5896" max="5896" width="19.85546875" style="1702" customWidth="1"/>
    <col min="5897" max="5897" width="17" style="1702" customWidth="1"/>
    <col min="5898" max="5898" width="13.140625" style="1702" bestFit="1" customWidth="1"/>
    <col min="5899" max="5899" width="17.28515625" style="1702" customWidth="1"/>
    <col min="5900" max="5900" width="21" style="1702" customWidth="1"/>
    <col min="5901" max="6144" width="9.140625" style="1702"/>
    <col min="6145" max="6145" width="6.140625" style="1702" bestFit="1" customWidth="1"/>
    <col min="6146" max="6146" width="34.5703125" style="1702" customWidth="1"/>
    <col min="6147" max="6147" width="10.140625" style="1702" customWidth="1"/>
    <col min="6148" max="6148" width="16.28515625" style="1702" customWidth="1"/>
    <col min="6149" max="6149" width="9.28515625" style="1702" customWidth="1"/>
    <col min="6150" max="6150" width="31.140625" style="1702" customWidth="1"/>
    <col min="6151" max="6151" width="17.85546875" style="1702" customWidth="1"/>
    <col min="6152" max="6152" width="19.85546875" style="1702" customWidth="1"/>
    <col min="6153" max="6153" width="17" style="1702" customWidth="1"/>
    <col min="6154" max="6154" width="13.140625" style="1702" bestFit="1" customWidth="1"/>
    <col min="6155" max="6155" width="17.28515625" style="1702" customWidth="1"/>
    <col min="6156" max="6156" width="21" style="1702" customWidth="1"/>
    <col min="6157" max="6400" width="9.140625" style="1702"/>
    <col min="6401" max="6401" width="6.140625" style="1702" bestFit="1" customWidth="1"/>
    <col min="6402" max="6402" width="34.5703125" style="1702" customWidth="1"/>
    <col min="6403" max="6403" width="10.140625" style="1702" customWidth="1"/>
    <col min="6404" max="6404" width="16.28515625" style="1702" customWidth="1"/>
    <col min="6405" max="6405" width="9.28515625" style="1702" customWidth="1"/>
    <col min="6406" max="6406" width="31.140625" style="1702" customWidth="1"/>
    <col min="6407" max="6407" width="17.85546875" style="1702" customWidth="1"/>
    <col min="6408" max="6408" width="19.85546875" style="1702" customWidth="1"/>
    <col min="6409" max="6409" width="17" style="1702" customWidth="1"/>
    <col min="6410" max="6410" width="13.140625" style="1702" bestFit="1" customWidth="1"/>
    <col min="6411" max="6411" width="17.28515625" style="1702" customWidth="1"/>
    <col min="6412" max="6412" width="21" style="1702" customWidth="1"/>
    <col min="6413" max="6656" width="9.140625" style="1702"/>
    <col min="6657" max="6657" width="6.140625" style="1702" bestFit="1" customWidth="1"/>
    <col min="6658" max="6658" width="34.5703125" style="1702" customWidth="1"/>
    <col min="6659" max="6659" width="10.140625" style="1702" customWidth="1"/>
    <col min="6660" max="6660" width="16.28515625" style="1702" customWidth="1"/>
    <col min="6661" max="6661" width="9.28515625" style="1702" customWidth="1"/>
    <col min="6662" max="6662" width="31.140625" style="1702" customWidth="1"/>
    <col min="6663" max="6663" width="17.85546875" style="1702" customWidth="1"/>
    <col min="6664" max="6664" width="19.85546875" style="1702" customWidth="1"/>
    <col min="6665" max="6665" width="17" style="1702" customWidth="1"/>
    <col min="6666" max="6666" width="13.140625" style="1702" bestFit="1" customWidth="1"/>
    <col min="6667" max="6667" width="17.28515625" style="1702" customWidth="1"/>
    <col min="6668" max="6668" width="21" style="1702" customWidth="1"/>
    <col min="6669" max="6912" width="9.140625" style="1702"/>
    <col min="6913" max="6913" width="6.140625" style="1702" bestFit="1" customWidth="1"/>
    <col min="6914" max="6914" width="34.5703125" style="1702" customWidth="1"/>
    <col min="6915" max="6915" width="10.140625" style="1702" customWidth="1"/>
    <col min="6916" max="6916" width="16.28515625" style="1702" customWidth="1"/>
    <col min="6917" max="6917" width="9.28515625" style="1702" customWidth="1"/>
    <col min="6918" max="6918" width="31.140625" style="1702" customWidth="1"/>
    <col min="6919" max="6919" width="17.85546875" style="1702" customWidth="1"/>
    <col min="6920" max="6920" width="19.85546875" style="1702" customWidth="1"/>
    <col min="6921" max="6921" width="17" style="1702" customWidth="1"/>
    <col min="6922" max="6922" width="13.140625" style="1702" bestFit="1" customWidth="1"/>
    <col min="6923" max="6923" width="17.28515625" style="1702" customWidth="1"/>
    <col min="6924" max="6924" width="21" style="1702" customWidth="1"/>
    <col min="6925" max="7168" width="9.140625" style="1702"/>
    <col min="7169" max="7169" width="6.140625" style="1702" bestFit="1" customWidth="1"/>
    <col min="7170" max="7170" width="34.5703125" style="1702" customWidth="1"/>
    <col min="7171" max="7171" width="10.140625" style="1702" customWidth="1"/>
    <col min="7172" max="7172" width="16.28515625" style="1702" customWidth="1"/>
    <col min="7173" max="7173" width="9.28515625" style="1702" customWidth="1"/>
    <col min="7174" max="7174" width="31.140625" style="1702" customWidth="1"/>
    <col min="7175" max="7175" width="17.85546875" style="1702" customWidth="1"/>
    <col min="7176" max="7176" width="19.85546875" style="1702" customWidth="1"/>
    <col min="7177" max="7177" width="17" style="1702" customWidth="1"/>
    <col min="7178" max="7178" width="13.140625" style="1702" bestFit="1" customWidth="1"/>
    <col min="7179" max="7179" width="17.28515625" style="1702" customWidth="1"/>
    <col min="7180" max="7180" width="21" style="1702" customWidth="1"/>
    <col min="7181" max="7424" width="9.140625" style="1702"/>
    <col min="7425" max="7425" width="6.140625" style="1702" bestFit="1" customWidth="1"/>
    <col min="7426" max="7426" width="34.5703125" style="1702" customWidth="1"/>
    <col min="7427" max="7427" width="10.140625" style="1702" customWidth="1"/>
    <col min="7428" max="7428" width="16.28515625" style="1702" customWidth="1"/>
    <col min="7429" max="7429" width="9.28515625" style="1702" customWidth="1"/>
    <col min="7430" max="7430" width="31.140625" style="1702" customWidth="1"/>
    <col min="7431" max="7431" width="17.85546875" style="1702" customWidth="1"/>
    <col min="7432" max="7432" width="19.85546875" style="1702" customWidth="1"/>
    <col min="7433" max="7433" width="17" style="1702" customWidth="1"/>
    <col min="7434" max="7434" width="13.140625" style="1702" bestFit="1" customWidth="1"/>
    <col min="7435" max="7435" width="17.28515625" style="1702" customWidth="1"/>
    <col min="7436" max="7436" width="21" style="1702" customWidth="1"/>
    <col min="7437" max="7680" width="9.140625" style="1702"/>
    <col min="7681" max="7681" width="6.140625" style="1702" bestFit="1" customWidth="1"/>
    <col min="7682" max="7682" width="34.5703125" style="1702" customWidth="1"/>
    <col min="7683" max="7683" width="10.140625" style="1702" customWidth="1"/>
    <col min="7684" max="7684" width="16.28515625" style="1702" customWidth="1"/>
    <col min="7685" max="7685" width="9.28515625" style="1702" customWidth="1"/>
    <col min="7686" max="7686" width="31.140625" style="1702" customWidth="1"/>
    <col min="7687" max="7687" width="17.85546875" style="1702" customWidth="1"/>
    <col min="7688" max="7688" width="19.85546875" style="1702" customWidth="1"/>
    <col min="7689" max="7689" width="17" style="1702" customWidth="1"/>
    <col min="7690" max="7690" width="13.140625" style="1702" bestFit="1" customWidth="1"/>
    <col min="7691" max="7691" width="17.28515625" style="1702" customWidth="1"/>
    <col min="7692" max="7692" width="21" style="1702" customWidth="1"/>
    <col min="7693" max="7936" width="9.140625" style="1702"/>
    <col min="7937" max="7937" width="6.140625" style="1702" bestFit="1" customWidth="1"/>
    <col min="7938" max="7938" width="34.5703125" style="1702" customWidth="1"/>
    <col min="7939" max="7939" width="10.140625" style="1702" customWidth="1"/>
    <col min="7940" max="7940" width="16.28515625" style="1702" customWidth="1"/>
    <col min="7941" max="7941" width="9.28515625" style="1702" customWidth="1"/>
    <col min="7942" max="7942" width="31.140625" style="1702" customWidth="1"/>
    <col min="7943" max="7943" width="17.85546875" style="1702" customWidth="1"/>
    <col min="7944" max="7944" width="19.85546875" style="1702" customWidth="1"/>
    <col min="7945" max="7945" width="17" style="1702" customWidth="1"/>
    <col min="7946" max="7946" width="13.140625" style="1702" bestFit="1" customWidth="1"/>
    <col min="7947" max="7947" width="17.28515625" style="1702" customWidth="1"/>
    <col min="7948" max="7948" width="21" style="1702" customWidth="1"/>
    <col min="7949" max="8192" width="9.140625" style="1702"/>
    <col min="8193" max="8193" width="6.140625" style="1702" bestFit="1" customWidth="1"/>
    <col min="8194" max="8194" width="34.5703125" style="1702" customWidth="1"/>
    <col min="8195" max="8195" width="10.140625" style="1702" customWidth="1"/>
    <col min="8196" max="8196" width="16.28515625" style="1702" customWidth="1"/>
    <col min="8197" max="8197" width="9.28515625" style="1702" customWidth="1"/>
    <col min="8198" max="8198" width="31.140625" style="1702" customWidth="1"/>
    <col min="8199" max="8199" width="17.85546875" style="1702" customWidth="1"/>
    <col min="8200" max="8200" width="19.85546875" style="1702" customWidth="1"/>
    <col min="8201" max="8201" width="17" style="1702" customWidth="1"/>
    <col min="8202" max="8202" width="13.140625" style="1702" bestFit="1" customWidth="1"/>
    <col min="8203" max="8203" width="17.28515625" style="1702" customWidth="1"/>
    <col min="8204" max="8204" width="21" style="1702" customWidth="1"/>
    <col min="8205" max="8448" width="9.140625" style="1702"/>
    <col min="8449" max="8449" width="6.140625" style="1702" bestFit="1" customWidth="1"/>
    <col min="8450" max="8450" width="34.5703125" style="1702" customWidth="1"/>
    <col min="8451" max="8451" width="10.140625" style="1702" customWidth="1"/>
    <col min="8452" max="8452" width="16.28515625" style="1702" customWidth="1"/>
    <col min="8453" max="8453" width="9.28515625" style="1702" customWidth="1"/>
    <col min="8454" max="8454" width="31.140625" style="1702" customWidth="1"/>
    <col min="8455" max="8455" width="17.85546875" style="1702" customWidth="1"/>
    <col min="8456" max="8456" width="19.85546875" style="1702" customWidth="1"/>
    <col min="8457" max="8457" width="17" style="1702" customWidth="1"/>
    <col min="8458" max="8458" width="13.140625" style="1702" bestFit="1" customWidth="1"/>
    <col min="8459" max="8459" width="17.28515625" style="1702" customWidth="1"/>
    <col min="8460" max="8460" width="21" style="1702" customWidth="1"/>
    <col min="8461" max="8704" width="9.140625" style="1702"/>
    <col min="8705" max="8705" width="6.140625" style="1702" bestFit="1" customWidth="1"/>
    <col min="8706" max="8706" width="34.5703125" style="1702" customWidth="1"/>
    <col min="8707" max="8707" width="10.140625" style="1702" customWidth="1"/>
    <col min="8708" max="8708" width="16.28515625" style="1702" customWidth="1"/>
    <col min="8709" max="8709" width="9.28515625" style="1702" customWidth="1"/>
    <col min="8710" max="8710" width="31.140625" style="1702" customWidth="1"/>
    <col min="8711" max="8711" width="17.85546875" style="1702" customWidth="1"/>
    <col min="8712" max="8712" width="19.85546875" style="1702" customWidth="1"/>
    <col min="8713" max="8713" width="17" style="1702" customWidth="1"/>
    <col min="8714" max="8714" width="13.140625" style="1702" bestFit="1" customWidth="1"/>
    <col min="8715" max="8715" width="17.28515625" style="1702" customWidth="1"/>
    <col min="8716" max="8716" width="21" style="1702" customWidth="1"/>
    <col min="8717" max="8960" width="9.140625" style="1702"/>
    <col min="8961" max="8961" width="6.140625" style="1702" bestFit="1" customWidth="1"/>
    <col min="8962" max="8962" width="34.5703125" style="1702" customWidth="1"/>
    <col min="8963" max="8963" width="10.140625" style="1702" customWidth="1"/>
    <col min="8964" max="8964" width="16.28515625" style="1702" customWidth="1"/>
    <col min="8965" max="8965" width="9.28515625" style="1702" customWidth="1"/>
    <col min="8966" max="8966" width="31.140625" style="1702" customWidth="1"/>
    <col min="8967" max="8967" width="17.85546875" style="1702" customWidth="1"/>
    <col min="8968" max="8968" width="19.85546875" style="1702" customWidth="1"/>
    <col min="8969" max="8969" width="17" style="1702" customWidth="1"/>
    <col min="8970" max="8970" width="13.140625" style="1702" bestFit="1" customWidth="1"/>
    <col min="8971" max="8971" width="17.28515625" style="1702" customWidth="1"/>
    <col min="8972" max="8972" width="21" style="1702" customWidth="1"/>
    <col min="8973" max="9216" width="9.140625" style="1702"/>
    <col min="9217" max="9217" width="6.140625" style="1702" bestFit="1" customWidth="1"/>
    <col min="9218" max="9218" width="34.5703125" style="1702" customWidth="1"/>
    <col min="9219" max="9219" width="10.140625" style="1702" customWidth="1"/>
    <col min="9220" max="9220" width="16.28515625" style="1702" customWidth="1"/>
    <col min="9221" max="9221" width="9.28515625" style="1702" customWidth="1"/>
    <col min="9222" max="9222" width="31.140625" style="1702" customWidth="1"/>
    <col min="9223" max="9223" width="17.85546875" style="1702" customWidth="1"/>
    <col min="9224" max="9224" width="19.85546875" style="1702" customWidth="1"/>
    <col min="9225" max="9225" width="17" style="1702" customWidth="1"/>
    <col min="9226" max="9226" width="13.140625" style="1702" bestFit="1" customWidth="1"/>
    <col min="9227" max="9227" width="17.28515625" style="1702" customWidth="1"/>
    <col min="9228" max="9228" width="21" style="1702" customWidth="1"/>
    <col min="9229" max="9472" width="9.140625" style="1702"/>
    <col min="9473" max="9473" width="6.140625" style="1702" bestFit="1" customWidth="1"/>
    <col min="9474" max="9474" width="34.5703125" style="1702" customWidth="1"/>
    <col min="9475" max="9475" width="10.140625" style="1702" customWidth="1"/>
    <col min="9476" max="9476" width="16.28515625" style="1702" customWidth="1"/>
    <col min="9477" max="9477" width="9.28515625" style="1702" customWidth="1"/>
    <col min="9478" max="9478" width="31.140625" style="1702" customWidth="1"/>
    <col min="9479" max="9479" width="17.85546875" style="1702" customWidth="1"/>
    <col min="9480" max="9480" width="19.85546875" style="1702" customWidth="1"/>
    <col min="9481" max="9481" width="17" style="1702" customWidth="1"/>
    <col min="9482" max="9482" width="13.140625" style="1702" bestFit="1" customWidth="1"/>
    <col min="9483" max="9483" width="17.28515625" style="1702" customWidth="1"/>
    <col min="9484" max="9484" width="21" style="1702" customWidth="1"/>
    <col min="9485" max="9728" width="9.140625" style="1702"/>
    <col min="9729" max="9729" width="6.140625" style="1702" bestFit="1" customWidth="1"/>
    <col min="9730" max="9730" width="34.5703125" style="1702" customWidth="1"/>
    <col min="9731" max="9731" width="10.140625" style="1702" customWidth="1"/>
    <col min="9732" max="9732" width="16.28515625" style="1702" customWidth="1"/>
    <col min="9733" max="9733" width="9.28515625" style="1702" customWidth="1"/>
    <col min="9734" max="9734" width="31.140625" style="1702" customWidth="1"/>
    <col min="9735" max="9735" width="17.85546875" style="1702" customWidth="1"/>
    <col min="9736" max="9736" width="19.85546875" style="1702" customWidth="1"/>
    <col min="9737" max="9737" width="17" style="1702" customWidth="1"/>
    <col min="9738" max="9738" width="13.140625" style="1702" bestFit="1" customWidth="1"/>
    <col min="9739" max="9739" width="17.28515625" style="1702" customWidth="1"/>
    <col min="9740" max="9740" width="21" style="1702" customWidth="1"/>
    <col min="9741" max="9984" width="9.140625" style="1702"/>
    <col min="9985" max="9985" width="6.140625" style="1702" bestFit="1" customWidth="1"/>
    <col min="9986" max="9986" width="34.5703125" style="1702" customWidth="1"/>
    <col min="9987" max="9987" width="10.140625" style="1702" customWidth="1"/>
    <col min="9988" max="9988" width="16.28515625" style="1702" customWidth="1"/>
    <col min="9989" max="9989" width="9.28515625" style="1702" customWidth="1"/>
    <col min="9990" max="9990" width="31.140625" style="1702" customWidth="1"/>
    <col min="9991" max="9991" width="17.85546875" style="1702" customWidth="1"/>
    <col min="9992" max="9992" width="19.85546875" style="1702" customWidth="1"/>
    <col min="9993" max="9993" width="17" style="1702" customWidth="1"/>
    <col min="9994" max="9994" width="13.140625" style="1702" bestFit="1" customWidth="1"/>
    <col min="9995" max="9995" width="17.28515625" style="1702" customWidth="1"/>
    <col min="9996" max="9996" width="21" style="1702" customWidth="1"/>
    <col min="9997" max="10240" width="9.140625" style="1702"/>
    <col min="10241" max="10241" width="6.140625" style="1702" bestFit="1" customWidth="1"/>
    <col min="10242" max="10242" width="34.5703125" style="1702" customWidth="1"/>
    <col min="10243" max="10243" width="10.140625" style="1702" customWidth="1"/>
    <col min="10244" max="10244" width="16.28515625" style="1702" customWidth="1"/>
    <col min="10245" max="10245" width="9.28515625" style="1702" customWidth="1"/>
    <col min="10246" max="10246" width="31.140625" style="1702" customWidth="1"/>
    <col min="10247" max="10247" width="17.85546875" style="1702" customWidth="1"/>
    <col min="10248" max="10248" width="19.85546875" style="1702" customWidth="1"/>
    <col min="10249" max="10249" width="17" style="1702" customWidth="1"/>
    <col min="10250" max="10250" width="13.140625" style="1702" bestFit="1" customWidth="1"/>
    <col min="10251" max="10251" width="17.28515625" style="1702" customWidth="1"/>
    <col min="10252" max="10252" width="21" style="1702" customWidth="1"/>
    <col min="10253" max="10496" width="9.140625" style="1702"/>
    <col min="10497" max="10497" width="6.140625" style="1702" bestFit="1" customWidth="1"/>
    <col min="10498" max="10498" width="34.5703125" style="1702" customWidth="1"/>
    <col min="10499" max="10499" width="10.140625" style="1702" customWidth="1"/>
    <col min="10500" max="10500" width="16.28515625" style="1702" customWidth="1"/>
    <col min="10501" max="10501" width="9.28515625" style="1702" customWidth="1"/>
    <col min="10502" max="10502" width="31.140625" style="1702" customWidth="1"/>
    <col min="10503" max="10503" width="17.85546875" style="1702" customWidth="1"/>
    <col min="10504" max="10504" width="19.85546875" style="1702" customWidth="1"/>
    <col min="10505" max="10505" width="17" style="1702" customWidth="1"/>
    <col min="10506" max="10506" width="13.140625" style="1702" bestFit="1" customWidth="1"/>
    <col min="10507" max="10507" width="17.28515625" style="1702" customWidth="1"/>
    <col min="10508" max="10508" width="21" style="1702" customWidth="1"/>
    <col min="10509" max="10752" width="9.140625" style="1702"/>
    <col min="10753" max="10753" width="6.140625" style="1702" bestFit="1" customWidth="1"/>
    <col min="10754" max="10754" width="34.5703125" style="1702" customWidth="1"/>
    <col min="10755" max="10755" width="10.140625" style="1702" customWidth="1"/>
    <col min="10756" max="10756" width="16.28515625" style="1702" customWidth="1"/>
    <col min="10757" max="10757" width="9.28515625" style="1702" customWidth="1"/>
    <col min="10758" max="10758" width="31.140625" style="1702" customWidth="1"/>
    <col min="10759" max="10759" width="17.85546875" style="1702" customWidth="1"/>
    <col min="10760" max="10760" width="19.85546875" style="1702" customWidth="1"/>
    <col min="10761" max="10761" width="17" style="1702" customWidth="1"/>
    <col min="10762" max="10762" width="13.140625" style="1702" bestFit="1" customWidth="1"/>
    <col min="10763" max="10763" width="17.28515625" style="1702" customWidth="1"/>
    <col min="10764" max="10764" width="21" style="1702" customWidth="1"/>
    <col min="10765" max="11008" width="9.140625" style="1702"/>
    <col min="11009" max="11009" width="6.140625" style="1702" bestFit="1" customWidth="1"/>
    <col min="11010" max="11010" width="34.5703125" style="1702" customWidth="1"/>
    <col min="11011" max="11011" width="10.140625" style="1702" customWidth="1"/>
    <col min="11012" max="11012" width="16.28515625" style="1702" customWidth="1"/>
    <col min="11013" max="11013" width="9.28515625" style="1702" customWidth="1"/>
    <col min="11014" max="11014" width="31.140625" style="1702" customWidth="1"/>
    <col min="11015" max="11015" width="17.85546875" style="1702" customWidth="1"/>
    <col min="11016" max="11016" width="19.85546875" style="1702" customWidth="1"/>
    <col min="11017" max="11017" width="17" style="1702" customWidth="1"/>
    <col min="11018" max="11018" width="13.140625" style="1702" bestFit="1" customWidth="1"/>
    <col min="11019" max="11019" width="17.28515625" style="1702" customWidth="1"/>
    <col min="11020" max="11020" width="21" style="1702" customWidth="1"/>
    <col min="11021" max="11264" width="9.140625" style="1702"/>
    <col min="11265" max="11265" width="6.140625" style="1702" bestFit="1" customWidth="1"/>
    <col min="11266" max="11266" width="34.5703125" style="1702" customWidth="1"/>
    <col min="11267" max="11267" width="10.140625" style="1702" customWidth="1"/>
    <col min="11268" max="11268" width="16.28515625" style="1702" customWidth="1"/>
    <col min="11269" max="11269" width="9.28515625" style="1702" customWidth="1"/>
    <col min="11270" max="11270" width="31.140625" style="1702" customWidth="1"/>
    <col min="11271" max="11271" width="17.85546875" style="1702" customWidth="1"/>
    <col min="11272" max="11272" width="19.85546875" style="1702" customWidth="1"/>
    <col min="11273" max="11273" width="17" style="1702" customWidth="1"/>
    <col min="11274" max="11274" width="13.140625" style="1702" bestFit="1" customWidth="1"/>
    <col min="11275" max="11275" width="17.28515625" style="1702" customWidth="1"/>
    <col min="11276" max="11276" width="21" style="1702" customWidth="1"/>
    <col min="11277" max="11520" width="9.140625" style="1702"/>
    <col min="11521" max="11521" width="6.140625" style="1702" bestFit="1" customWidth="1"/>
    <col min="11522" max="11522" width="34.5703125" style="1702" customWidth="1"/>
    <col min="11523" max="11523" width="10.140625" style="1702" customWidth="1"/>
    <col min="11524" max="11524" width="16.28515625" style="1702" customWidth="1"/>
    <col min="11525" max="11525" width="9.28515625" style="1702" customWidth="1"/>
    <col min="11526" max="11526" width="31.140625" style="1702" customWidth="1"/>
    <col min="11527" max="11527" width="17.85546875" style="1702" customWidth="1"/>
    <col min="11528" max="11528" width="19.85546875" style="1702" customWidth="1"/>
    <col min="11529" max="11529" width="17" style="1702" customWidth="1"/>
    <col min="11530" max="11530" width="13.140625" style="1702" bestFit="1" customWidth="1"/>
    <col min="11531" max="11531" width="17.28515625" style="1702" customWidth="1"/>
    <col min="11532" max="11532" width="21" style="1702" customWidth="1"/>
    <col min="11533" max="11776" width="9.140625" style="1702"/>
    <col min="11777" max="11777" width="6.140625" style="1702" bestFit="1" customWidth="1"/>
    <col min="11778" max="11778" width="34.5703125" style="1702" customWidth="1"/>
    <col min="11779" max="11779" width="10.140625" style="1702" customWidth="1"/>
    <col min="11780" max="11780" width="16.28515625" style="1702" customWidth="1"/>
    <col min="11781" max="11781" width="9.28515625" style="1702" customWidth="1"/>
    <col min="11782" max="11782" width="31.140625" style="1702" customWidth="1"/>
    <col min="11783" max="11783" width="17.85546875" style="1702" customWidth="1"/>
    <col min="11784" max="11784" width="19.85546875" style="1702" customWidth="1"/>
    <col min="11785" max="11785" width="17" style="1702" customWidth="1"/>
    <col min="11786" max="11786" width="13.140625" style="1702" bestFit="1" customWidth="1"/>
    <col min="11787" max="11787" width="17.28515625" style="1702" customWidth="1"/>
    <col min="11788" max="11788" width="21" style="1702" customWidth="1"/>
    <col min="11789" max="12032" width="9.140625" style="1702"/>
    <col min="12033" max="12033" width="6.140625" style="1702" bestFit="1" customWidth="1"/>
    <col min="12034" max="12034" width="34.5703125" style="1702" customWidth="1"/>
    <col min="12035" max="12035" width="10.140625" style="1702" customWidth="1"/>
    <col min="12036" max="12036" width="16.28515625" style="1702" customWidth="1"/>
    <col min="12037" max="12037" width="9.28515625" style="1702" customWidth="1"/>
    <col min="12038" max="12038" width="31.140625" style="1702" customWidth="1"/>
    <col min="12039" max="12039" width="17.85546875" style="1702" customWidth="1"/>
    <col min="12040" max="12040" width="19.85546875" style="1702" customWidth="1"/>
    <col min="12041" max="12041" width="17" style="1702" customWidth="1"/>
    <col min="12042" max="12042" width="13.140625" style="1702" bestFit="1" customWidth="1"/>
    <col min="12043" max="12043" width="17.28515625" style="1702" customWidth="1"/>
    <col min="12044" max="12044" width="21" style="1702" customWidth="1"/>
    <col min="12045" max="12288" width="9.140625" style="1702"/>
    <col min="12289" max="12289" width="6.140625" style="1702" bestFit="1" customWidth="1"/>
    <col min="12290" max="12290" width="34.5703125" style="1702" customWidth="1"/>
    <col min="12291" max="12291" width="10.140625" style="1702" customWidth="1"/>
    <col min="12292" max="12292" width="16.28515625" style="1702" customWidth="1"/>
    <col min="12293" max="12293" width="9.28515625" style="1702" customWidth="1"/>
    <col min="12294" max="12294" width="31.140625" style="1702" customWidth="1"/>
    <col min="12295" max="12295" width="17.85546875" style="1702" customWidth="1"/>
    <col min="12296" max="12296" width="19.85546875" style="1702" customWidth="1"/>
    <col min="12297" max="12297" width="17" style="1702" customWidth="1"/>
    <col min="12298" max="12298" width="13.140625" style="1702" bestFit="1" customWidth="1"/>
    <col min="12299" max="12299" width="17.28515625" style="1702" customWidth="1"/>
    <col min="12300" max="12300" width="21" style="1702" customWidth="1"/>
    <col min="12301" max="12544" width="9.140625" style="1702"/>
    <col min="12545" max="12545" width="6.140625" style="1702" bestFit="1" customWidth="1"/>
    <col min="12546" max="12546" width="34.5703125" style="1702" customWidth="1"/>
    <col min="12547" max="12547" width="10.140625" style="1702" customWidth="1"/>
    <col min="12548" max="12548" width="16.28515625" style="1702" customWidth="1"/>
    <col min="12549" max="12549" width="9.28515625" style="1702" customWidth="1"/>
    <col min="12550" max="12550" width="31.140625" style="1702" customWidth="1"/>
    <col min="12551" max="12551" width="17.85546875" style="1702" customWidth="1"/>
    <col min="12552" max="12552" width="19.85546875" style="1702" customWidth="1"/>
    <col min="12553" max="12553" width="17" style="1702" customWidth="1"/>
    <col min="12554" max="12554" width="13.140625" style="1702" bestFit="1" customWidth="1"/>
    <col min="12555" max="12555" width="17.28515625" style="1702" customWidth="1"/>
    <col min="12556" max="12556" width="21" style="1702" customWidth="1"/>
    <col min="12557" max="12800" width="9.140625" style="1702"/>
    <col min="12801" max="12801" width="6.140625" style="1702" bestFit="1" customWidth="1"/>
    <col min="12802" max="12802" width="34.5703125" style="1702" customWidth="1"/>
    <col min="12803" max="12803" width="10.140625" style="1702" customWidth="1"/>
    <col min="12804" max="12804" width="16.28515625" style="1702" customWidth="1"/>
    <col min="12805" max="12805" width="9.28515625" style="1702" customWidth="1"/>
    <col min="12806" max="12806" width="31.140625" style="1702" customWidth="1"/>
    <col min="12807" max="12807" width="17.85546875" style="1702" customWidth="1"/>
    <col min="12808" max="12808" width="19.85546875" style="1702" customWidth="1"/>
    <col min="12809" max="12809" width="17" style="1702" customWidth="1"/>
    <col min="12810" max="12810" width="13.140625" style="1702" bestFit="1" customWidth="1"/>
    <col min="12811" max="12811" width="17.28515625" style="1702" customWidth="1"/>
    <col min="12812" max="12812" width="21" style="1702" customWidth="1"/>
    <col min="12813" max="13056" width="9.140625" style="1702"/>
    <col min="13057" max="13057" width="6.140625" style="1702" bestFit="1" customWidth="1"/>
    <col min="13058" max="13058" width="34.5703125" style="1702" customWidth="1"/>
    <col min="13059" max="13059" width="10.140625" style="1702" customWidth="1"/>
    <col min="13060" max="13060" width="16.28515625" style="1702" customWidth="1"/>
    <col min="13061" max="13061" width="9.28515625" style="1702" customWidth="1"/>
    <col min="13062" max="13062" width="31.140625" style="1702" customWidth="1"/>
    <col min="13063" max="13063" width="17.85546875" style="1702" customWidth="1"/>
    <col min="13064" max="13064" width="19.85546875" style="1702" customWidth="1"/>
    <col min="13065" max="13065" width="17" style="1702" customWidth="1"/>
    <col min="13066" max="13066" width="13.140625" style="1702" bestFit="1" customWidth="1"/>
    <col min="13067" max="13067" width="17.28515625" style="1702" customWidth="1"/>
    <col min="13068" max="13068" width="21" style="1702" customWidth="1"/>
    <col min="13069" max="13312" width="9.140625" style="1702"/>
    <col min="13313" max="13313" width="6.140625" style="1702" bestFit="1" customWidth="1"/>
    <col min="13314" max="13314" width="34.5703125" style="1702" customWidth="1"/>
    <col min="13315" max="13315" width="10.140625" style="1702" customWidth="1"/>
    <col min="13316" max="13316" width="16.28515625" style="1702" customWidth="1"/>
    <col min="13317" max="13317" width="9.28515625" style="1702" customWidth="1"/>
    <col min="13318" max="13318" width="31.140625" style="1702" customWidth="1"/>
    <col min="13319" max="13319" width="17.85546875" style="1702" customWidth="1"/>
    <col min="13320" max="13320" width="19.85546875" style="1702" customWidth="1"/>
    <col min="13321" max="13321" width="17" style="1702" customWidth="1"/>
    <col min="13322" max="13322" width="13.140625" style="1702" bestFit="1" customWidth="1"/>
    <col min="13323" max="13323" width="17.28515625" style="1702" customWidth="1"/>
    <col min="13324" max="13324" width="21" style="1702" customWidth="1"/>
    <col min="13325" max="13568" width="9.140625" style="1702"/>
    <col min="13569" max="13569" width="6.140625" style="1702" bestFit="1" customWidth="1"/>
    <col min="13570" max="13570" width="34.5703125" style="1702" customWidth="1"/>
    <col min="13571" max="13571" width="10.140625" style="1702" customWidth="1"/>
    <col min="13572" max="13572" width="16.28515625" style="1702" customWidth="1"/>
    <col min="13573" max="13573" width="9.28515625" style="1702" customWidth="1"/>
    <col min="13574" max="13574" width="31.140625" style="1702" customWidth="1"/>
    <col min="13575" max="13575" width="17.85546875" style="1702" customWidth="1"/>
    <col min="13576" max="13576" width="19.85546875" style="1702" customWidth="1"/>
    <col min="13577" max="13577" width="17" style="1702" customWidth="1"/>
    <col min="13578" max="13578" width="13.140625" style="1702" bestFit="1" customWidth="1"/>
    <col min="13579" max="13579" width="17.28515625" style="1702" customWidth="1"/>
    <col min="13580" max="13580" width="21" style="1702" customWidth="1"/>
    <col min="13581" max="13824" width="9.140625" style="1702"/>
    <col min="13825" max="13825" width="6.140625" style="1702" bestFit="1" customWidth="1"/>
    <col min="13826" max="13826" width="34.5703125" style="1702" customWidth="1"/>
    <col min="13827" max="13827" width="10.140625" style="1702" customWidth="1"/>
    <col min="13828" max="13828" width="16.28515625" style="1702" customWidth="1"/>
    <col min="13829" max="13829" width="9.28515625" style="1702" customWidth="1"/>
    <col min="13830" max="13830" width="31.140625" style="1702" customWidth="1"/>
    <col min="13831" max="13831" width="17.85546875" style="1702" customWidth="1"/>
    <col min="13832" max="13832" width="19.85546875" style="1702" customWidth="1"/>
    <col min="13833" max="13833" width="17" style="1702" customWidth="1"/>
    <col min="13834" max="13834" width="13.140625" style="1702" bestFit="1" customWidth="1"/>
    <col min="13835" max="13835" width="17.28515625" style="1702" customWidth="1"/>
    <col min="13836" max="13836" width="21" style="1702" customWidth="1"/>
    <col min="13837" max="14080" width="9.140625" style="1702"/>
    <col min="14081" max="14081" width="6.140625" style="1702" bestFit="1" customWidth="1"/>
    <col min="14082" max="14082" width="34.5703125" style="1702" customWidth="1"/>
    <col min="14083" max="14083" width="10.140625" style="1702" customWidth="1"/>
    <col min="14084" max="14084" width="16.28515625" style="1702" customWidth="1"/>
    <col min="14085" max="14085" width="9.28515625" style="1702" customWidth="1"/>
    <col min="14086" max="14086" width="31.140625" style="1702" customWidth="1"/>
    <col min="14087" max="14087" width="17.85546875" style="1702" customWidth="1"/>
    <col min="14088" max="14088" width="19.85546875" style="1702" customWidth="1"/>
    <col min="14089" max="14089" width="17" style="1702" customWidth="1"/>
    <col min="14090" max="14090" width="13.140625" style="1702" bestFit="1" customWidth="1"/>
    <col min="14091" max="14091" width="17.28515625" style="1702" customWidth="1"/>
    <col min="14092" max="14092" width="21" style="1702" customWidth="1"/>
    <col min="14093" max="14336" width="9.140625" style="1702"/>
    <col min="14337" max="14337" width="6.140625" style="1702" bestFit="1" customWidth="1"/>
    <col min="14338" max="14338" width="34.5703125" style="1702" customWidth="1"/>
    <col min="14339" max="14339" width="10.140625" style="1702" customWidth="1"/>
    <col min="14340" max="14340" width="16.28515625" style="1702" customWidth="1"/>
    <col min="14341" max="14341" width="9.28515625" style="1702" customWidth="1"/>
    <col min="14342" max="14342" width="31.140625" style="1702" customWidth="1"/>
    <col min="14343" max="14343" width="17.85546875" style="1702" customWidth="1"/>
    <col min="14344" max="14344" width="19.85546875" style="1702" customWidth="1"/>
    <col min="14345" max="14345" width="17" style="1702" customWidth="1"/>
    <col min="14346" max="14346" width="13.140625" style="1702" bestFit="1" customWidth="1"/>
    <col min="14347" max="14347" width="17.28515625" style="1702" customWidth="1"/>
    <col min="14348" max="14348" width="21" style="1702" customWidth="1"/>
    <col min="14349" max="14592" width="9.140625" style="1702"/>
    <col min="14593" max="14593" width="6.140625" style="1702" bestFit="1" customWidth="1"/>
    <col min="14594" max="14594" width="34.5703125" style="1702" customWidth="1"/>
    <col min="14595" max="14595" width="10.140625" style="1702" customWidth="1"/>
    <col min="14596" max="14596" width="16.28515625" style="1702" customWidth="1"/>
    <col min="14597" max="14597" width="9.28515625" style="1702" customWidth="1"/>
    <col min="14598" max="14598" width="31.140625" style="1702" customWidth="1"/>
    <col min="14599" max="14599" width="17.85546875" style="1702" customWidth="1"/>
    <col min="14600" max="14600" width="19.85546875" style="1702" customWidth="1"/>
    <col min="14601" max="14601" width="17" style="1702" customWidth="1"/>
    <col min="14602" max="14602" width="13.140625" style="1702" bestFit="1" customWidth="1"/>
    <col min="14603" max="14603" width="17.28515625" style="1702" customWidth="1"/>
    <col min="14604" max="14604" width="21" style="1702" customWidth="1"/>
    <col min="14605" max="14848" width="9.140625" style="1702"/>
    <col min="14849" max="14849" width="6.140625" style="1702" bestFit="1" customWidth="1"/>
    <col min="14850" max="14850" width="34.5703125" style="1702" customWidth="1"/>
    <col min="14851" max="14851" width="10.140625" style="1702" customWidth="1"/>
    <col min="14852" max="14852" width="16.28515625" style="1702" customWidth="1"/>
    <col min="14853" max="14853" width="9.28515625" style="1702" customWidth="1"/>
    <col min="14854" max="14854" width="31.140625" style="1702" customWidth="1"/>
    <col min="14855" max="14855" width="17.85546875" style="1702" customWidth="1"/>
    <col min="14856" max="14856" width="19.85546875" style="1702" customWidth="1"/>
    <col min="14857" max="14857" width="17" style="1702" customWidth="1"/>
    <col min="14858" max="14858" width="13.140625" style="1702" bestFit="1" customWidth="1"/>
    <col min="14859" max="14859" width="17.28515625" style="1702" customWidth="1"/>
    <col min="14860" max="14860" width="21" style="1702" customWidth="1"/>
    <col min="14861" max="15104" width="9.140625" style="1702"/>
    <col min="15105" max="15105" width="6.140625" style="1702" bestFit="1" customWidth="1"/>
    <col min="15106" max="15106" width="34.5703125" style="1702" customWidth="1"/>
    <col min="15107" max="15107" width="10.140625" style="1702" customWidth="1"/>
    <col min="15108" max="15108" width="16.28515625" style="1702" customWidth="1"/>
    <col min="15109" max="15109" width="9.28515625" style="1702" customWidth="1"/>
    <col min="15110" max="15110" width="31.140625" style="1702" customWidth="1"/>
    <col min="15111" max="15111" width="17.85546875" style="1702" customWidth="1"/>
    <col min="15112" max="15112" width="19.85546875" style="1702" customWidth="1"/>
    <col min="15113" max="15113" width="17" style="1702" customWidth="1"/>
    <col min="15114" max="15114" width="13.140625" style="1702" bestFit="1" customWidth="1"/>
    <col min="15115" max="15115" width="17.28515625" style="1702" customWidth="1"/>
    <col min="15116" max="15116" width="21" style="1702" customWidth="1"/>
    <col min="15117" max="15360" width="9.140625" style="1702"/>
    <col min="15361" max="15361" width="6.140625" style="1702" bestFit="1" customWidth="1"/>
    <col min="15362" max="15362" width="34.5703125" style="1702" customWidth="1"/>
    <col min="15363" max="15363" width="10.140625" style="1702" customWidth="1"/>
    <col min="15364" max="15364" width="16.28515625" style="1702" customWidth="1"/>
    <col min="15365" max="15365" width="9.28515625" style="1702" customWidth="1"/>
    <col min="15366" max="15366" width="31.140625" style="1702" customWidth="1"/>
    <col min="15367" max="15367" width="17.85546875" style="1702" customWidth="1"/>
    <col min="15368" max="15368" width="19.85546875" style="1702" customWidth="1"/>
    <col min="15369" max="15369" width="17" style="1702" customWidth="1"/>
    <col min="15370" max="15370" width="13.140625" style="1702" bestFit="1" customWidth="1"/>
    <col min="15371" max="15371" width="17.28515625" style="1702" customWidth="1"/>
    <col min="15372" max="15372" width="21" style="1702" customWidth="1"/>
    <col min="15373" max="15616" width="9.140625" style="1702"/>
    <col min="15617" max="15617" width="6.140625" style="1702" bestFit="1" customWidth="1"/>
    <col min="15618" max="15618" width="34.5703125" style="1702" customWidth="1"/>
    <col min="15619" max="15619" width="10.140625" style="1702" customWidth="1"/>
    <col min="15620" max="15620" width="16.28515625" style="1702" customWidth="1"/>
    <col min="15621" max="15621" width="9.28515625" style="1702" customWidth="1"/>
    <col min="15622" max="15622" width="31.140625" style="1702" customWidth="1"/>
    <col min="15623" max="15623" width="17.85546875" style="1702" customWidth="1"/>
    <col min="15624" max="15624" width="19.85546875" style="1702" customWidth="1"/>
    <col min="15625" max="15625" width="17" style="1702" customWidth="1"/>
    <col min="15626" max="15626" width="13.140625" style="1702" bestFit="1" customWidth="1"/>
    <col min="15627" max="15627" width="17.28515625" style="1702" customWidth="1"/>
    <col min="15628" max="15628" width="21" style="1702" customWidth="1"/>
    <col min="15629" max="15872" width="9.140625" style="1702"/>
    <col min="15873" max="15873" width="6.140625" style="1702" bestFit="1" customWidth="1"/>
    <col min="15874" max="15874" width="34.5703125" style="1702" customWidth="1"/>
    <col min="15875" max="15875" width="10.140625" style="1702" customWidth="1"/>
    <col min="15876" max="15876" width="16.28515625" style="1702" customWidth="1"/>
    <col min="15877" max="15877" width="9.28515625" style="1702" customWidth="1"/>
    <col min="15878" max="15878" width="31.140625" style="1702" customWidth="1"/>
    <col min="15879" max="15879" width="17.85546875" style="1702" customWidth="1"/>
    <col min="15880" max="15880" width="19.85546875" style="1702" customWidth="1"/>
    <col min="15881" max="15881" width="17" style="1702" customWidth="1"/>
    <col min="15882" max="15882" width="13.140625" style="1702" bestFit="1" customWidth="1"/>
    <col min="15883" max="15883" width="17.28515625" style="1702" customWidth="1"/>
    <col min="15884" max="15884" width="21" style="1702" customWidth="1"/>
    <col min="15885" max="16128" width="9.140625" style="1702"/>
    <col min="16129" max="16129" width="6.140625" style="1702" bestFit="1" customWidth="1"/>
    <col min="16130" max="16130" width="34.5703125" style="1702" customWidth="1"/>
    <col min="16131" max="16131" width="10.140625" style="1702" customWidth="1"/>
    <col min="16132" max="16132" width="16.28515625" style="1702" customWidth="1"/>
    <col min="16133" max="16133" width="9.28515625" style="1702" customWidth="1"/>
    <col min="16134" max="16134" width="31.140625" style="1702" customWidth="1"/>
    <col min="16135" max="16135" width="17.85546875" style="1702" customWidth="1"/>
    <col min="16136" max="16136" width="19.85546875" style="1702" customWidth="1"/>
    <col min="16137" max="16137" width="17" style="1702" customWidth="1"/>
    <col min="16138" max="16138" width="13.140625" style="1702" bestFit="1" customWidth="1"/>
    <col min="16139" max="16139" width="17.28515625" style="1702" customWidth="1"/>
    <col min="16140" max="16140" width="21" style="1702" customWidth="1"/>
    <col min="16141" max="16384" width="9.140625" style="1702"/>
  </cols>
  <sheetData>
    <row r="2" spans="1:9" x14ac:dyDescent="0.2">
      <c r="A2" s="2283" t="s">
        <v>723</v>
      </c>
      <c r="B2" s="2283"/>
      <c r="C2" s="2283"/>
      <c r="D2" s="2283"/>
      <c r="E2" s="2283"/>
      <c r="F2" s="2283"/>
      <c r="G2" s="2283"/>
      <c r="H2" s="2283"/>
    </row>
    <row r="3" spans="1:9" ht="18" customHeight="1" x14ac:dyDescent="0.2">
      <c r="A3" s="2283" t="s">
        <v>724</v>
      </c>
      <c r="B3" s="2283"/>
      <c r="C3" s="2283"/>
      <c r="D3" s="2283"/>
      <c r="E3" s="2283"/>
      <c r="F3" s="2283"/>
      <c r="G3" s="2283"/>
      <c r="H3" s="2283"/>
    </row>
    <row r="4" spans="1:9" s="1703" customFormat="1" ht="18" customHeight="1" x14ac:dyDescent="0.2">
      <c r="A4" s="2284" t="s">
        <v>725</v>
      </c>
      <c r="B4" s="2284"/>
      <c r="C4" s="2284"/>
      <c r="D4" s="2284"/>
      <c r="E4" s="2284"/>
      <c r="F4" s="2284"/>
      <c r="G4" s="2284"/>
      <c r="H4" s="2284"/>
    </row>
    <row r="5" spans="1:9" s="1703" customFormat="1" ht="18" customHeight="1" x14ac:dyDescent="0.2">
      <c r="A5" s="2290" t="str">
        <f>' ССР (нов)'!A6:G6</f>
        <v xml:space="preserve">Реконструкция теплового ввода </v>
      </c>
      <c r="B5" s="2284"/>
      <c r="C5" s="2284"/>
      <c r="D5" s="2284"/>
      <c r="E5" s="2284"/>
      <c r="F5" s="2284"/>
      <c r="G5" s="2284"/>
      <c r="H5" s="2284"/>
    </row>
    <row r="6" spans="1:9" s="1703" customFormat="1" ht="30" customHeight="1" x14ac:dyDescent="0.2">
      <c r="A6" s="2285" t="str">
        <f>' ССР (нов)'!A7:G7</f>
        <v>г. Москва , ул. Мневники д.4</v>
      </c>
      <c r="B6" s="2286"/>
      <c r="C6" s="2286"/>
      <c r="D6" s="2286"/>
      <c r="E6" s="2286"/>
      <c r="F6" s="2286"/>
      <c r="G6" s="2286"/>
      <c r="H6" s="2286"/>
    </row>
    <row r="7" spans="1:9" s="1703" customFormat="1" ht="16.5" thickBot="1" x14ac:dyDescent="0.25">
      <c r="A7" s="1704"/>
      <c r="B7" s="1704"/>
      <c r="C7" s="1704"/>
      <c r="D7" s="1705"/>
      <c r="E7" s="1705"/>
      <c r="F7" s="1705"/>
      <c r="G7" s="1705"/>
      <c r="H7" s="1705"/>
    </row>
    <row r="8" spans="1:9" s="1712" customFormat="1" ht="44.25" customHeight="1" thickBot="1" x14ac:dyDescent="0.25">
      <c r="A8" s="1706" t="s">
        <v>31</v>
      </c>
      <c r="B8" s="1707" t="s">
        <v>726</v>
      </c>
      <c r="C8" s="1708" t="s">
        <v>727</v>
      </c>
      <c r="D8" s="1709" t="s">
        <v>728</v>
      </c>
      <c r="E8" s="1709" t="s">
        <v>729</v>
      </c>
      <c r="F8" s="1709" t="s">
        <v>730</v>
      </c>
      <c r="G8" s="1710" t="s">
        <v>0</v>
      </c>
      <c r="H8" s="1711" t="s">
        <v>731</v>
      </c>
    </row>
    <row r="9" spans="1:9" s="1703" customFormat="1" ht="19.5" thickBot="1" x14ac:dyDescent="0.25">
      <c r="A9" s="1713"/>
      <c r="B9" s="1714" t="s">
        <v>52</v>
      </c>
      <c r="C9" s="1715"/>
      <c r="D9" s="1716"/>
      <c r="E9" s="1716"/>
      <c r="F9" s="1716"/>
      <c r="G9" s="1716"/>
      <c r="H9" s="1717"/>
    </row>
    <row r="10" spans="1:9" s="1703" customFormat="1" ht="51" customHeight="1" thickBot="1" x14ac:dyDescent="0.25">
      <c r="A10" s="1718">
        <v>1</v>
      </c>
      <c r="B10" s="1719" t="s">
        <v>732</v>
      </c>
      <c r="C10" s="1720"/>
      <c r="D10" s="1721">
        <f>экол!G17+Геология!G20+геодезия!G21</f>
        <v>20388.12</v>
      </c>
      <c r="E10" s="1722">
        <v>1</v>
      </c>
      <c r="F10" s="1721"/>
      <c r="G10" s="1721" t="str">
        <f>CONCATENATE(D10,"*",E10)</f>
        <v>20388,12*1</v>
      </c>
      <c r="H10" s="1723">
        <f>ROUND(D10*E10,2)</f>
        <v>20388.12</v>
      </c>
    </row>
    <row r="11" spans="1:9" s="1703" customFormat="1" ht="48" hidden="1" customHeight="1" x14ac:dyDescent="0.2">
      <c r="A11" s="1724">
        <v>2</v>
      </c>
      <c r="B11" s="1725" t="s">
        <v>733</v>
      </c>
      <c r="C11" s="1726" t="s">
        <v>734</v>
      </c>
      <c r="D11" s="1727">
        <v>0</v>
      </c>
      <c r="E11" s="1728">
        <v>1</v>
      </c>
      <c r="F11" s="1727"/>
      <c r="G11" s="1727" t="str">
        <f>CONCATENATE(D11,"*",E11)</f>
        <v>0*1</v>
      </c>
      <c r="H11" s="1729">
        <f>ROUND(D11*E11,2)</f>
        <v>0</v>
      </c>
    </row>
    <row r="12" spans="1:9" s="1703" customFormat="1" ht="42" hidden="1" customHeight="1" x14ac:dyDescent="0.2">
      <c r="A12" s="1730">
        <v>3</v>
      </c>
      <c r="B12" s="1731" t="s">
        <v>735</v>
      </c>
      <c r="C12" s="1732">
        <v>7</v>
      </c>
      <c r="D12" s="1733">
        <v>0</v>
      </c>
      <c r="E12" s="1733">
        <v>11.37</v>
      </c>
      <c r="F12" s="1734" t="s">
        <v>736</v>
      </c>
      <c r="G12" s="1733" t="str">
        <f>CONCATENATE(D12,"*",E12)</f>
        <v>0*11,37</v>
      </c>
      <c r="H12" s="1735">
        <f>ROUND(D12*E12,2)</f>
        <v>0</v>
      </c>
      <c r="I12" s="1736"/>
    </row>
    <row r="13" spans="1:9" s="1703" customFormat="1" ht="42" hidden="1" customHeight="1" thickBot="1" x14ac:dyDescent="0.25">
      <c r="A13" s="1730">
        <v>4</v>
      </c>
      <c r="B13" s="1737" t="s">
        <v>737</v>
      </c>
      <c r="C13" s="1732">
        <v>1</v>
      </c>
      <c r="D13" s="1733">
        <v>0</v>
      </c>
      <c r="E13" s="1728">
        <v>1</v>
      </c>
      <c r="F13" s="1734"/>
      <c r="G13" s="1733" t="str">
        <f>CONCATENATE(D13,"*",E13)</f>
        <v>0*1</v>
      </c>
      <c r="H13" s="1735">
        <f>ROUND(D13*E13,2)</f>
        <v>0</v>
      </c>
      <c r="I13" s="1736"/>
    </row>
    <row r="14" spans="1:9" s="1742" customFormat="1" ht="19.5" thickBot="1" x14ac:dyDescent="0.25">
      <c r="A14" s="1738"/>
      <c r="B14" s="1739" t="s">
        <v>54</v>
      </c>
      <c r="C14" s="1716"/>
      <c r="D14" s="1740"/>
      <c r="E14" s="1740"/>
      <c r="F14" s="1740"/>
      <c r="G14" s="1740"/>
      <c r="H14" s="1741"/>
    </row>
    <row r="15" spans="1:9" s="1703" customFormat="1" ht="36.75" customHeight="1" x14ac:dyDescent="0.2">
      <c r="A15" s="1718">
        <v>1</v>
      </c>
      <c r="B15" s="1743" t="s">
        <v>55</v>
      </c>
      <c r="C15" s="1720">
        <v>1</v>
      </c>
      <c r="D15" s="1721">
        <f>Т.с.!H66</f>
        <v>378244</v>
      </c>
      <c r="E15" s="1721">
        <v>0.4</v>
      </c>
      <c r="F15" s="1744" t="s">
        <v>713</v>
      </c>
      <c r="G15" s="1721" t="str">
        <f t="shared" ref="G15:G23" si="0">CONCATENATE(D15,"*",E15)</f>
        <v>378244*0,4</v>
      </c>
      <c r="H15" s="1723">
        <f t="shared" ref="H15:H22" si="1">ROUND(D15*E15,2)</f>
        <v>151297.60000000001</v>
      </c>
    </row>
    <row r="16" spans="1:9" s="1703" customFormat="1" ht="36.75" customHeight="1" x14ac:dyDescent="0.2">
      <c r="A16" s="1718">
        <v>2</v>
      </c>
      <c r="B16" s="1743" t="s">
        <v>738</v>
      </c>
      <c r="C16" s="1720">
        <v>1</v>
      </c>
      <c r="D16" s="1721">
        <f>Т.с.!H66*0.02</f>
        <v>7564.88</v>
      </c>
      <c r="E16" s="1721">
        <v>0.4</v>
      </c>
      <c r="F16" s="1744" t="s">
        <v>713</v>
      </c>
      <c r="G16" s="1721" t="str">
        <f>CONCATENATE(D16,"*",E16)</f>
        <v>7564,88*0,4</v>
      </c>
      <c r="H16" s="1723">
        <f>ROUND(D16*E16,2)</f>
        <v>3025.95</v>
      </c>
    </row>
    <row r="17" spans="1:10" s="1703" customFormat="1" ht="33" hidden="1" customHeight="1" x14ac:dyDescent="0.2">
      <c r="A17" s="1724">
        <v>2</v>
      </c>
      <c r="B17" s="1745" t="s">
        <v>290</v>
      </c>
      <c r="C17" s="1726"/>
      <c r="D17" s="1727">
        <v>0</v>
      </c>
      <c r="E17" s="1727">
        <v>0.4</v>
      </c>
      <c r="F17" s="1746" t="s">
        <v>713</v>
      </c>
      <c r="G17" s="1727" t="str">
        <f t="shared" si="0"/>
        <v>0*0,4</v>
      </c>
      <c r="H17" s="1729">
        <f t="shared" si="1"/>
        <v>0</v>
      </c>
    </row>
    <row r="18" spans="1:10" s="1703" customFormat="1" ht="33" customHeight="1" x14ac:dyDescent="0.2">
      <c r="A18" s="1724">
        <v>3</v>
      </c>
      <c r="B18" s="1747" t="s">
        <v>739</v>
      </c>
      <c r="C18" s="1726">
        <v>1</v>
      </c>
      <c r="D18" s="1727">
        <f>Т.с.!H75</f>
        <v>54000</v>
      </c>
      <c r="E18" s="1727">
        <v>0.4</v>
      </c>
      <c r="F18" s="1746" t="s">
        <v>713</v>
      </c>
      <c r="G18" s="1727" t="str">
        <f t="shared" si="0"/>
        <v>54000*0,4</v>
      </c>
      <c r="H18" s="1729">
        <f t="shared" si="1"/>
        <v>21600</v>
      </c>
    </row>
    <row r="19" spans="1:10" s="1703" customFormat="1" ht="33" customHeight="1" x14ac:dyDescent="0.2">
      <c r="A19" s="1724">
        <v>4</v>
      </c>
      <c r="B19" s="1747" t="s">
        <v>740</v>
      </c>
      <c r="C19" s="1726">
        <v>1</v>
      </c>
      <c r="D19" s="1727">
        <f>Т.с.!H88</f>
        <v>14058</v>
      </c>
      <c r="E19" s="1728">
        <v>1</v>
      </c>
      <c r="F19" s="1727"/>
      <c r="G19" s="1727" t="str">
        <f t="shared" si="0"/>
        <v>14058*1</v>
      </c>
      <c r="H19" s="1729">
        <f t="shared" si="1"/>
        <v>14058</v>
      </c>
    </row>
    <row r="20" spans="1:10" s="1703" customFormat="1" ht="33" customHeight="1" x14ac:dyDescent="0.2">
      <c r="A20" s="1724">
        <v>5</v>
      </c>
      <c r="B20" s="1747" t="s">
        <v>741</v>
      </c>
      <c r="C20" s="1726"/>
      <c r="D20" s="1727">
        <f>ROUND(РДП!I24+РДП!I20,2)</f>
        <v>48900.67</v>
      </c>
      <c r="E20" s="1727"/>
      <c r="F20" s="1746"/>
      <c r="G20" s="1727" t="str">
        <f>CONCATENATE(D20)</f>
        <v>48900,67</v>
      </c>
      <c r="H20" s="1729">
        <f>ROUND(D20,2)</f>
        <v>48900.67</v>
      </c>
      <c r="I20" s="1736"/>
    </row>
    <row r="21" spans="1:10" s="1703" customFormat="1" ht="30" x14ac:dyDescent="0.2">
      <c r="A21" s="1724">
        <v>5</v>
      </c>
      <c r="B21" s="1747" t="s">
        <v>643</v>
      </c>
      <c r="C21" s="1726">
        <v>2</v>
      </c>
      <c r="D21" s="1727">
        <f>'ООС+ТР'!H74</f>
        <v>72995.199999999997</v>
      </c>
      <c r="E21" s="1728">
        <v>1</v>
      </c>
      <c r="F21" s="1727"/>
      <c r="G21" s="1727" t="str">
        <f t="shared" si="0"/>
        <v>72995,2*1</v>
      </c>
      <c r="H21" s="1729">
        <f t="shared" si="1"/>
        <v>72995.199999999997</v>
      </c>
    </row>
    <row r="22" spans="1:10" s="1703" customFormat="1" hidden="1" x14ac:dyDescent="0.2">
      <c r="A22" s="1724">
        <v>6</v>
      </c>
      <c r="B22" s="1747" t="s">
        <v>633</v>
      </c>
      <c r="C22" s="1726"/>
      <c r="D22" s="1727">
        <v>0</v>
      </c>
      <c r="E22" s="1728">
        <v>1</v>
      </c>
      <c r="F22" s="1727"/>
      <c r="G22" s="1727" t="str">
        <f t="shared" si="0"/>
        <v>0*1</v>
      </c>
      <c r="H22" s="1729">
        <f t="shared" si="1"/>
        <v>0</v>
      </c>
    </row>
    <row r="23" spans="1:10" s="1703" customFormat="1" ht="33" customHeight="1" thickBot="1" x14ac:dyDescent="0.25">
      <c r="A23" s="1730">
        <v>6</v>
      </c>
      <c r="B23" s="1748" t="s">
        <v>61</v>
      </c>
      <c r="C23" s="1732">
        <v>3</v>
      </c>
      <c r="D23" s="1733">
        <f>ПОЖ!H17</f>
        <v>4500</v>
      </c>
      <c r="E23" s="1749">
        <v>1</v>
      </c>
      <c r="F23" s="1750"/>
      <c r="G23" s="1733" t="str">
        <f t="shared" si="0"/>
        <v>4500*1</v>
      </c>
      <c r="H23" s="1735">
        <f>ROUND(D23*E23,2)</f>
        <v>4500</v>
      </c>
    </row>
    <row r="24" spans="1:10" s="1742" customFormat="1" ht="19.5" customHeight="1" thickBot="1" x14ac:dyDescent="0.25">
      <c r="A24" s="1751"/>
      <c r="B24" s="1752" t="s">
        <v>742</v>
      </c>
      <c r="C24" s="1753"/>
      <c r="D24" s="1740">
        <f>SUM(D10:D23)</f>
        <v>600650.87</v>
      </c>
      <c r="E24" s="1740"/>
      <c r="F24" s="1740"/>
      <c r="G24" s="1740"/>
      <c r="H24" s="1740">
        <f>SUM(H10:H23)</f>
        <v>336765.54000000004</v>
      </c>
      <c r="I24" s="1754"/>
      <c r="J24" s="1755"/>
    </row>
    <row r="25" spans="1:10" x14ac:dyDescent="0.2">
      <c r="A25" s="1756"/>
      <c r="B25" s="1756"/>
      <c r="C25" s="1756"/>
    </row>
    <row r="26" spans="1:10" ht="21" customHeight="1" x14ac:dyDescent="0.2">
      <c r="A26" s="2287" t="s">
        <v>743</v>
      </c>
      <c r="B26" s="2287"/>
      <c r="C26" s="2287"/>
      <c r="D26" s="2287"/>
      <c r="E26" s="2287"/>
      <c r="F26" s="2287"/>
      <c r="G26" s="2287"/>
      <c r="H26" s="2287"/>
    </row>
    <row r="27" spans="1:10" ht="43.5" customHeight="1" x14ac:dyDescent="0.2">
      <c r="A27" s="2291" t="s">
        <v>744</v>
      </c>
      <c r="B27" s="2291"/>
      <c r="C27" s="2291"/>
      <c r="D27" s="2291"/>
      <c r="E27" s="2291"/>
      <c r="F27" s="2291"/>
      <c r="G27" s="2291"/>
      <c r="H27" s="2291"/>
    </row>
    <row r="28" spans="1:10" x14ac:dyDescent="0.2">
      <c r="A28" s="1756"/>
      <c r="B28" s="1758"/>
      <c r="C28" s="1758"/>
      <c r="D28" s="1758"/>
      <c r="E28" s="1758"/>
      <c r="F28" s="1758"/>
      <c r="G28" s="1758"/>
      <c r="H28" s="1758"/>
    </row>
    <row r="29" spans="1:10" ht="45.75" customHeight="1" x14ac:dyDescent="0.2">
      <c r="A29" s="1756"/>
      <c r="B29" s="2288" t="s">
        <v>745</v>
      </c>
      <c r="C29" s="2288"/>
      <c r="D29" s="2288"/>
      <c r="E29" s="2288"/>
      <c r="F29" s="2288"/>
      <c r="G29" s="2288"/>
      <c r="H29" s="2288"/>
    </row>
    <row r="30" spans="1:10" ht="10.5" customHeight="1" x14ac:dyDescent="0.2">
      <c r="A30" s="1756"/>
      <c r="B30" s="1756"/>
      <c r="C30" s="1756"/>
    </row>
    <row r="31" spans="1:10" x14ac:dyDescent="0.2">
      <c r="A31" s="2289" t="s">
        <v>755</v>
      </c>
      <c r="B31" s="2289"/>
      <c r="C31" s="2289"/>
      <c r="D31" s="2289"/>
      <c r="E31" s="1759"/>
      <c r="F31" s="1759"/>
      <c r="G31" s="1759"/>
      <c r="H31" s="1759"/>
    </row>
    <row r="32" spans="1:10" ht="27" customHeight="1" x14ac:dyDescent="0.2">
      <c r="A32" s="1759" t="s">
        <v>746</v>
      </c>
      <c r="B32" s="1702" t="s">
        <v>747</v>
      </c>
    </row>
    <row r="33" spans="1:17" ht="27.75" customHeight="1" x14ac:dyDescent="0.2">
      <c r="A33" s="1759" t="s">
        <v>748</v>
      </c>
      <c r="B33" s="1702" t="s">
        <v>749</v>
      </c>
    </row>
    <row r="34" spans="1:17" ht="26.25" customHeight="1" x14ac:dyDescent="0.2">
      <c r="A34" s="1759" t="s">
        <v>750</v>
      </c>
      <c r="B34" s="2288" t="s">
        <v>751</v>
      </c>
      <c r="C34" s="2288"/>
      <c r="D34" s="2288"/>
      <c r="E34" s="2288"/>
      <c r="F34" s="2288"/>
      <c r="G34" s="2288"/>
      <c r="H34" s="2288"/>
      <c r="I34" s="1760">
        <f>G48</f>
        <v>27.3</v>
      </c>
      <c r="J34" s="1761" t="s">
        <v>717</v>
      </c>
    </row>
    <row r="35" spans="1:17" x14ac:dyDescent="0.2">
      <c r="A35" s="1759" t="s">
        <v>752</v>
      </c>
      <c r="B35" s="2288" t="s">
        <v>753</v>
      </c>
      <c r="C35" s="2288"/>
      <c r="D35" s="2288"/>
      <c r="E35" s="2288"/>
      <c r="F35" s="2288"/>
      <c r="G35" s="2288"/>
      <c r="H35" s="2288"/>
    </row>
    <row r="36" spans="1:17" ht="30.75" customHeight="1" x14ac:dyDescent="0.2"/>
    <row r="37" spans="1:17" x14ac:dyDescent="0.2">
      <c r="C37" s="1762" t="str">
        <f>CONCATENATE("РПнж = ",H24,"*",I34,"% =  ")</f>
        <v xml:space="preserve">РПнж = 336765,54*27,3% =  </v>
      </c>
      <c r="D37" s="1763">
        <f>ROUND(H24*I34/100,2)</f>
        <v>91936.99</v>
      </c>
      <c r="E37" s="1764" t="s">
        <v>714</v>
      </c>
      <c r="F37" s="1764"/>
      <c r="G37" s="1764"/>
      <c r="H37" s="1764"/>
    </row>
    <row r="38" spans="1:17" x14ac:dyDescent="0.2">
      <c r="C38" s="1762" t="s">
        <v>715</v>
      </c>
      <c r="D38" s="1763">
        <f>ROUND(D37*0.18,2)</f>
        <v>16548.66</v>
      </c>
      <c r="E38" s="1764" t="s">
        <v>714</v>
      </c>
      <c r="F38" s="1764"/>
      <c r="G38" s="1764"/>
      <c r="H38" s="1764"/>
    </row>
    <row r="39" spans="1:17" x14ac:dyDescent="0.2">
      <c r="C39" s="1762" t="s">
        <v>716</v>
      </c>
      <c r="D39" s="1763">
        <f>D37+D38</f>
        <v>108485.65000000001</v>
      </c>
      <c r="E39" s="1764" t="s">
        <v>714</v>
      </c>
      <c r="F39" s="1764"/>
      <c r="G39" s="1764"/>
      <c r="H39" s="1764"/>
    </row>
    <row r="43" spans="1:17" s="1766" customFormat="1" ht="18.75" x14ac:dyDescent="0.2">
      <c r="A43" s="1765"/>
      <c r="C43" s="1767"/>
      <c r="D43" s="1768" t="s">
        <v>149</v>
      </c>
      <c r="E43" s="1769"/>
      <c r="F43" s="1769"/>
      <c r="G43" s="1769"/>
      <c r="H43" s="1769"/>
      <c r="I43" s="1769"/>
      <c r="J43" s="1769"/>
      <c r="K43" s="1770"/>
      <c r="L43" s="1770"/>
      <c r="M43" s="1771"/>
      <c r="N43" s="1772"/>
      <c r="O43" s="1772"/>
      <c r="P43" s="1773"/>
      <c r="Q43" s="1773"/>
    </row>
    <row r="44" spans="1:17" s="1766" customFormat="1" ht="16.5" thickBot="1" x14ac:dyDescent="0.25">
      <c r="A44" s="1765"/>
      <c r="C44" s="1765"/>
      <c r="E44" s="1774" t="s">
        <v>718</v>
      </c>
      <c r="F44" s="1775" t="s">
        <v>719</v>
      </c>
      <c r="G44" s="1776" t="s">
        <v>659</v>
      </c>
      <c r="H44" s="1771"/>
      <c r="I44" s="1772"/>
      <c r="J44" s="1772"/>
      <c r="L44" s="1777"/>
    </row>
    <row r="45" spans="1:17" s="1766" customFormat="1" ht="16.5" thickBot="1" x14ac:dyDescent="0.25">
      <c r="A45" s="1765"/>
      <c r="B45" s="1765"/>
      <c r="C45" s="1765"/>
      <c r="F45" s="1778" t="s">
        <v>720</v>
      </c>
      <c r="G45" s="1779">
        <v>33.75</v>
      </c>
      <c r="H45" s="1771"/>
      <c r="I45" s="1772"/>
      <c r="J45" s="1772"/>
      <c r="L45" s="1780"/>
    </row>
    <row r="46" spans="1:17" s="1766" customFormat="1" x14ac:dyDescent="0.2">
      <c r="A46" s="1765"/>
      <c r="B46" s="1765"/>
      <c r="C46" s="1765"/>
      <c r="F46" s="1781" t="s">
        <v>721</v>
      </c>
      <c r="G46" s="1782"/>
      <c r="H46" s="1771"/>
      <c r="I46" s="1772"/>
      <c r="J46" s="1772"/>
      <c r="L46" s="1780"/>
    </row>
    <row r="47" spans="1:17" s="1766" customFormat="1" x14ac:dyDescent="0.2">
      <c r="A47" s="1765"/>
      <c r="F47" s="1783">
        <v>0.15</v>
      </c>
      <c r="G47" s="1784">
        <v>29.25</v>
      </c>
      <c r="H47" s="1771"/>
      <c r="I47" s="1772"/>
      <c r="J47" s="1772"/>
      <c r="L47" s="1780"/>
    </row>
    <row r="48" spans="1:17" s="1766" customFormat="1" x14ac:dyDescent="0.2">
      <c r="A48" s="1765"/>
      <c r="B48" s="1785"/>
      <c r="C48" s="1786"/>
      <c r="F48" s="1787">
        <v>0.25</v>
      </c>
      <c r="G48" s="1788">
        <v>27.3</v>
      </c>
      <c r="H48" s="1771"/>
      <c r="I48" s="1772"/>
      <c r="J48" s="1772"/>
      <c r="L48" s="1780"/>
    </row>
    <row r="49" spans="1:12" s="1766" customFormat="1" x14ac:dyDescent="0.2">
      <c r="A49" s="1765"/>
      <c r="B49" s="1785"/>
      <c r="C49" s="1786"/>
      <c r="F49" s="1787">
        <v>0.5</v>
      </c>
      <c r="G49" s="1788">
        <v>20.22</v>
      </c>
      <c r="H49" s="1771"/>
      <c r="I49" s="1772"/>
      <c r="J49" s="1772"/>
      <c r="L49" s="1780"/>
    </row>
    <row r="50" spans="1:12" s="1766" customFormat="1" x14ac:dyDescent="0.2">
      <c r="A50" s="1765"/>
      <c r="B50" s="1785"/>
      <c r="C50" s="1786"/>
      <c r="F50" s="1787">
        <v>0.75</v>
      </c>
      <c r="G50" s="1788">
        <v>16.649999999999999</v>
      </c>
      <c r="H50" s="1771"/>
      <c r="I50" s="1772"/>
      <c r="J50" s="1772"/>
      <c r="L50" s="1780"/>
    </row>
    <row r="51" spans="1:12" s="1766" customFormat="1" x14ac:dyDescent="0.2">
      <c r="A51" s="1765"/>
      <c r="B51" s="1785"/>
      <c r="C51" s="1786"/>
      <c r="F51" s="1787">
        <v>1</v>
      </c>
      <c r="G51" s="1788">
        <v>12.69</v>
      </c>
      <c r="H51" s="1771"/>
      <c r="I51" s="1772"/>
      <c r="J51" s="1772"/>
      <c r="L51" s="1780"/>
    </row>
    <row r="52" spans="1:12" s="1766" customFormat="1" x14ac:dyDescent="0.2">
      <c r="A52" s="1765"/>
      <c r="B52" s="1785"/>
      <c r="C52" s="1786"/>
      <c r="F52" s="1787">
        <v>1.5</v>
      </c>
      <c r="G52" s="1788">
        <v>11.88</v>
      </c>
      <c r="H52" s="1771"/>
      <c r="I52" s="1772"/>
      <c r="J52" s="1772"/>
      <c r="L52" s="1780"/>
    </row>
    <row r="53" spans="1:12" s="1766" customFormat="1" x14ac:dyDescent="0.2">
      <c r="A53" s="1765"/>
      <c r="B53" s="1785"/>
      <c r="C53" s="1786"/>
      <c r="F53" s="1787">
        <v>3</v>
      </c>
      <c r="G53" s="1788">
        <v>10.98</v>
      </c>
      <c r="H53" s="1771"/>
      <c r="I53" s="1772"/>
      <c r="J53" s="1772"/>
      <c r="L53" s="1780"/>
    </row>
    <row r="54" spans="1:12" s="1766" customFormat="1" x14ac:dyDescent="0.2">
      <c r="A54" s="1765"/>
      <c r="F54" s="1787">
        <v>4</v>
      </c>
      <c r="G54" s="1788">
        <v>8.77</v>
      </c>
      <c r="H54" s="1771"/>
      <c r="I54" s="1772"/>
      <c r="J54" s="1772"/>
      <c r="L54" s="1780"/>
    </row>
    <row r="55" spans="1:12" s="1766" customFormat="1" x14ac:dyDescent="0.2">
      <c r="A55" s="1765"/>
      <c r="F55" s="1787">
        <v>6</v>
      </c>
      <c r="G55" s="1788">
        <v>7.07</v>
      </c>
      <c r="H55" s="1771"/>
      <c r="I55" s="1772"/>
      <c r="J55" s="1772"/>
      <c r="L55" s="1780"/>
    </row>
    <row r="56" spans="1:12" s="1766" customFormat="1" x14ac:dyDescent="0.2">
      <c r="A56" s="1765"/>
      <c r="F56" s="1787">
        <v>8</v>
      </c>
      <c r="G56" s="1788">
        <v>6.15</v>
      </c>
      <c r="H56" s="1771"/>
      <c r="I56" s="1772"/>
      <c r="J56" s="1772"/>
      <c r="L56" s="1780"/>
    </row>
    <row r="57" spans="1:12" s="1766" customFormat="1" x14ac:dyDescent="0.2">
      <c r="A57" s="1765"/>
      <c r="F57" s="1787">
        <v>12</v>
      </c>
      <c r="G57" s="1788">
        <v>4.76</v>
      </c>
      <c r="H57" s="1771"/>
      <c r="I57" s="1772"/>
      <c r="J57" s="1772"/>
      <c r="L57" s="1780"/>
    </row>
    <row r="58" spans="1:12" s="1766" customFormat="1" x14ac:dyDescent="0.2">
      <c r="A58" s="1765"/>
      <c r="F58" s="1787">
        <v>18</v>
      </c>
      <c r="G58" s="1788">
        <v>4.13</v>
      </c>
      <c r="H58" s="1771"/>
      <c r="I58" s="1772"/>
      <c r="J58" s="1772"/>
      <c r="L58" s="1780"/>
    </row>
    <row r="59" spans="1:12" s="1766" customFormat="1" x14ac:dyDescent="0.2">
      <c r="A59" s="1765"/>
      <c r="F59" s="1787">
        <v>24</v>
      </c>
      <c r="G59" s="1788">
        <v>3.52</v>
      </c>
      <c r="H59" s="1771"/>
      <c r="I59" s="1772"/>
      <c r="J59" s="1772"/>
      <c r="L59" s="1780"/>
    </row>
    <row r="60" spans="1:12" s="1766" customFormat="1" x14ac:dyDescent="0.2">
      <c r="A60" s="1765"/>
      <c r="F60" s="1787">
        <v>30</v>
      </c>
      <c r="G60" s="1788">
        <v>3.06</v>
      </c>
      <c r="H60" s="1771"/>
      <c r="I60" s="1772"/>
      <c r="J60" s="1772"/>
      <c r="L60" s="1780"/>
    </row>
    <row r="61" spans="1:12" s="1766" customFormat="1" x14ac:dyDescent="0.2">
      <c r="A61" s="1765"/>
      <c r="F61" s="1787">
        <v>36</v>
      </c>
      <c r="G61" s="1788">
        <v>2.62</v>
      </c>
      <c r="H61" s="1771"/>
      <c r="I61" s="1772"/>
      <c r="J61" s="1772"/>
      <c r="L61" s="1780"/>
    </row>
    <row r="62" spans="1:12" s="1766" customFormat="1" x14ac:dyDescent="0.2">
      <c r="A62" s="1765"/>
      <c r="F62" s="1787">
        <v>45</v>
      </c>
      <c r="G62" s="1788">
        <v>2.33</v>
      </c>
      <c r="H62" s="1771"/>
      <c r="I62" s="1772"/>
      <c r="J62" s="1772"/>
      <c r="L62" s="1780"/>
    </row>
    <row r="63" spans="1:12" s="1766" customFormat="1" x14ac:dyDescent="0.2">
      <c r="A63" s="1765"/>
      <c r="F63" s="1787">
        <v>52.5</v>
      </c>
      <c r="G63" s="1788">
        <v>2.0099999999999998</v>
      </c>
      <c r="H63" s="1771"/>
      <c r="I63" s="1772"/>
      <c r="J63" s="1772"/>
      <c r="L63" s="1780"/>
    </row>
    <row r="64" spans="1:12" s="1766" customFormat="1" x14ac:dyDescent="0.2">
      <c r="A64" s="1765"/>
      <c r="F64" s="1787">
        <v>60</v>
      </c>
      <c r="G64" s="1788">
        <v>1.68</v>
      </c>
      <c r="H64" s="1771"/>
      <c r="I64" s="1772"/>
      <c r="J64" s="1772"/>
      <c r="L64" s="1780"/>
    </row>
    <row r="65" spans="1:13" s="1766" customFormat="1" x14ac:dyDescent="0.2">
      <c r="A65" s="1765"/>
      <c r="F65" s="1787">
        <v>70</v>
      </c>
      <c r="G65" s="1788">
        <v>1.56</v>
      </c>
      <c r="H65" s="1771"/>
      <c r="I65" s="1772"/>
      <c r="J65" s="1772"/>
      <c r="L65" s="1780"/>
    </row>
    <row r="66" spans="1:13" s="1766" customFormat="1" x14ac:dyDescent="0.2">
      <c r="A66" s="1765"/>
      <c r="F66" s="1787">
        <v>80</v>
      </c>
      <c r="G66" s="1788">
        <v>1.22</v>
      </c>
      <c r="H66" s="1771"/>
      <c r="I66" s="1772"/>
      <c r="J66" s="1772"/>
      <c r="L66" s="1780"/>
    </row>
    <row r="67" spans="1:13" s="1766" customFormat="1" x14ac:dyDescent="0.2">
      <c r="A67" s="1765"/>
      <c r="F67" s="1787">
        <v>100</v>
      </c>
      <c r="G67" s="1788">
        <v>1.04</v>
      </c>
      <c r="H67" s="1771"/>
      <c r="I67" s="1772"/>
      <c r="J67" s="1772"/>
      <c r="L67" s="1780"/>
    </row>
    <row r="68" spans="1:13" s="1766" customFormat="1" x14ac:dyDescent="0.2">
      <c r="A68" s="1765"/>
      <c r="F68" s="1787">
        <v>120</v>
      </c>
      <c r="G68" s="1788">
        <v>0.9</v>
      </c>
      <c r="H68" s="1771"/>
      <c r="I68" s="1772"/>
      <c r="J68" s="1772"/>
      <c r="L68" s="1780"/>
    </row>
    <row r="69" spans="1:13" s="1766" customFormat="1" x14ac:dyDescent="0.2">
      <c r="A69" s="1765"/>
      <c r="F69" s="1787">
        <v>140</v>
      </c>
      <c r="G69" s="1788">
        <v>0.8</v>
      </c>
      <c r="H69" s="1771"/>
      <c r="I69" s="1772"/>
      <c r="J69" s="1772"/>
      <c r="L69" s="1780"/>
    </row>
    <row r="70" spans="1:13" s="1766" customFormat="1" x14ac:dyDescent="0.2">
      <c r="A70" s="1765"/>
      <c r="F70" s="1787">
        <v>160</v>
      </c>
      <c r="G70" s="1788">
        <v>0.73</v>
      </c>
      <c r="H70" s="1771"/>
      <c r="I70" s="1772"/>
      <c r="J70" s="1772"/>
      <c r="L70" s="1780"/>
    </row>
    <row r="71" spans="1:13" s="1766" customFormat="1" x14ac:dyDescent="0.2">
      <c r="A71" s="1765"/>
      <c r="F71" s="1787">
        <v>180</v>
      </c>
      <c r="G71" s="1788">
        <v>0.66</v>
      </c>
      <c r="H71" s="1771"/>
      <c r="I71" s="1772"/>
      <c r="J71" s="1772"/>
      <c r="L71" s="1780"/>
    </row>
    <row r="72" spans="1:13" s="1766" customFormat="1" x14ac:dyDescent="0.2">
      <c r="A72" s="1765"/>
      <c r="F72" s="1787">
        <v>200</v>
      </c>
      <c r="G72" s="1788">
        <v>0.61</v>
      </c>
      <c r="H72" s="1771"/>
      <c r="I72" s="1772"/>
      <c r="J72" s="1772"/>
      <c r="L72" s="1780"/>
    </row>
    <row r="73" spans="1:13" s="1766" customFormat="1" x14ac:dyDescent="0.2">
      <c r="A73" s="1765"/>
      <c r="F73" s="1787">
        <v>220</v>
      </c>
      <c r="G73" s="1788">
        <v>0.57999999999999996</v>
      </c>
      <c r="H73" s="1771"/>
      <c r="I73" s="1772"/>
      <c r="J73" s="1772"/>
      <c r="L73" s="1780"/>
    </row>
    <row r="74" spans="1:13" s="1766" customFormat="1" ht="12.75" x14ac:dyDescent="0.2">
      <c r="A74" s="1765"/>
      <c r="M74" s="1789"/>
    </row>
  </sheetData>
  <mergeCells count="11">
    <mergeCell ref="B29:H29"/>
    <mergeCell ref="A31:D31"/>
    <mergeCell ref="B34:H34"/>
    <mergeCell ref="B35:H35"/>
    <mergeCell ref="A5:H5"/>
    <mergeCell ref="A27:H27"/>
    <mergeCell ref="A2:H2"/>
    <mergeCell ref="A3:H3"/>
    <mergeCell ref="A4:H4"/>
    <mergeCell ref="A6:H6"/>
    <mergeCell ref="A26:H26"/>
  </mergeCells>
  <printOptions horizontalCentered="1"/>
  <pageMargins left="0.78740157480314965" right="0.39370078740157483" top="0.39370078740157483" bottom="0.39370078740157483" header="0.19685039370078741" footer="0.19685039370078741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view="pageBreakPreview" zoomScaleNormal="100" zoomScaleSheetLayoutView="100" workbookViewId="0">
      <selection activeCell="A5" sqref="A5:G5"/>
    </sheetView>
  </sheetViews>
  <sheetFormatPr defaultColWidth="9.140625" defaultRowHeight="15.75" x14ac:dyDescent="0.2"/>
  <cols>
    <col min="1" max="1" width="4.7109375" style="375" customWidth="1"/>
    <col min="2" max="2" width="44.85546875" style="375" customWidth="1"/>
    <col min="3" max="3" width="14.5703125" style="1262" customWidth="1"/>
    <col min="4" max="4" width="16.28515625" style="375" customWidth="1"/>
    <col min="5" max="5" width="38.7109375" style="1257" customWidth="1"/>
    <col min="6" max="6" width="12.7109375" style="375" customWidth="1"/>
    <col min="7" max="7" width="17.42578125" style="375" customWidth="1"/>
    <col min="8" max="8" width="11.28515625" style="375" bestFit="1" customWidth="1"/>
    <col min="9" max="9" width="34.140625" style="375" customWidth="1"/>
    <col min="10" max="10" width="18.42578125" style="375" customWidth="1"/>
    <col min="11" max="11" width="20.140625" style="375" customWidth="1"/>
    <col min="12" max="12" width="12.85546875" style="375" customWidth="1"/>
    <col min="13" max="16384" width="9.140625" style="375"/>
  </cols>
  <sheetData>
    <row r="1" spans="1:13" ht="18" customHeight="1" x14ac:dyDescent="0.2">
      <c r="A1" s="1426"/>
      <c r="B1" s="1426"/>
      <c r="C1" s="1427"/>
      <c r="D1" s="1426"/>
      <c r="E1" s="1428"/>
      <c r="F1" s="1427"/>
      <c r="G1" s="1426"/>
    </row>
    <row r="2" spans="1:13" ht="18" customHeight="1" x14ac:dyDescent="0.2">
      <c r="A2" s="1426"/>
      <c r="B2" s="1426"/>
      <c r="C2" s="1429"/>
      <c r="D2" s="1426"/>
      <c r="E2" s="1428"/>
      <c r="F2" s="1429"/>
      <c r="G2" s="1426"/>
    </row>
    <row r="3" spans="1:13" ht="18" customHeight="1" x14ac:dyDescent="0.2">
      <c r="A3" s="1426"/>
      <c r="B3" s="1429"/>
      <c r="C3" s="1429"/>
      <c r="D3" s="1426"/>
      <c r="E3" s="1428"/>
      <c r="F3" s="1429"/>
      <c r="G3" s="1426"/>
    </row>
    <row r="4" spans="1:13" ht="16.5" x14ac:dyDescent="0.2">
      <c r="A4" s="1426"/>
      <c r="B4" s="1429"/>
      <c r="C4" s="1426"/>
      <c r="D4" s="1430"/>
      <c r="E4" s="1428"/>
      <c r="F4" s="1426"/>
      <c r="G4" s="1426"/>
    </row>
    <row r="5" spans="1:13" ht="16.5" x14ac:dyDescent="0.2">
      <c r="A5" s="2294" t="s">
        <v>675</v>
      </c>
      <c r="B5" s="2294"/>
      <c r="C5" s="2294"/>
      <c r="D5" s="2294"/>
      <c r="E5" s="2294"/>
      <c r="F5" s="2294"/>
      <c r="G5" s="2294"/>
    </row>
    <row r="6" spans="1:13" s="1259" customFormat="1" ht="21" customHeight="1" x14ac:dyDescent="0.2">
      <c r="A6" s="1851" t="s">
        <v>758</v>
      </c>
      <c r="B6" s="1851"/>
      <c r="C6" s="1851"/>
      <c r="D6" s="1851"/>
      <c r="E6" s="1851"/>
      <c r="F6" s="1851"/>
      <c r="G6" s="1851"/>
      <c r="H6" s="1517"/>
    </row>
    <row r="7" spans="1:13" s="1259" customFormat="1" ht="20.25" customHeight="1" x14ac:dyDescent="0.2">
      <c r="A7" s="1851" t="s">
        <v>763</v>
      </c>
      <c r="B7" s="1851"/>
      <c r="C7" s="1851"/>
      <c r="D7" s="1851"/>
      <c r="E7" s="1851"/>
      <c r="F7" s="1851"/>
      <c r="G7" s="1851"/>
    </row>
    <row r="8" spans="1:13" s="1259" customFormat="1" ht="9" customHeight="1" x14ac:dyDescent="0.2">
      <c r="A8" s="1260"/>
      <c r="B8" s="1261"/>
      <c r="C8" s="1261"/>
      <c r="D8" s="1261"/>
      <c r="E8" s="1258"/>
    </row>
    <row r="9" spans="1:13" s="1262" customFormat="1" x14ac:dyDescent="0.2">
      <c r="A9" s="1844" t="s">
        <v>19</v>
      </c>
      <c r="B9" s="1844" t="s">
        <v>50</v>
      </c>
      <c r="C9" s="1844" t="s">
        <v>310</v>
      </c>
      <c r="D9" s="1844" t="s">
        <v>547</v>
      </c>
      <c r="E9" s="1846" t="s">
        <v>548</v>
      </c>
      <c r="F9" s="1846"/>
      <c r="G9" s="1847" t="s">
        <v>549</v>
      </c>
      <c r="H9" s="1850"/>
      <c r="I9" s="1850"/>
      <c r="J9" s="1850"/>
      <c r="K9" s="1850"/>
      <c r="L9" s="1797"/>
      <c r="M9" s="1797"/>
    </row>
    <row r="10" spans="1:13" s="1262" customFormat="1" ht="24" x14ac:dyDescent="0.2">
      <c r="A10" s="1845"/>
      <c r="B10" s="1845"/>
      <c r="C10" s="1845"/>
      <c r="D10" s="1845"/>
      <c r="E10" s="1425" t="s">
        <v>310</v>
      </c>
      <c r="F10" s="1425" t="s">
        <v>550</v>
      </c>
      <c r="G10" s="1848"/>
      <c r="H10" s="1850"/>
      <c r="I10" s="1850"/>
      <c r="J10" s="1850"/>
      <c r="K10" s="1850"/>
      <c r="L10" s="1797"/>
      <c r="M10" s="1797"/>
    </row>
    <row r="11" spans="1:13" x14ac:dyDescent="0.2">
      <c r="A11" s="1263"/>
      <c r="B11" s="1263" t="s">
        <v>52</v>
      </c>
      <c r="C11" s="1263"/>
      <c r="D11" s="1263"/>
      <c r="E11" s="1264"/>
      <c r="F11" s="1265"/>
      <c r="G11" s="1790"/>
      <c r="H11" s="1798"/>
      <c r="I11" s="1798"/>
      <c r="J11" s="1798"/>
      <c r="K11" s="1798"/>
      <c r="L11" s="1798"/>
      <c r="M11" s="1798"/>
    </row>
    <row r="12" spans="1:13" ht="38.25" x14ac:dyDescent="0.2">
      <c r="A12" s="1266">
        <v>1</v>
      </c>
      <c r="B12" s="1267" t="s">
        <v>542</v>
      </c>
      <c r="C12" s="1266" t="s">
        <v>652</v>
      </c>
      <c r="D12" s="1299">
        <f>экол!G17</f>
        <v>6059.12</v>
      </c>
      <c r="E12" s="1465" t="s">
        <v>695</v>
      </c>
      <c r="F12" s="1268">
        <v>3.93</v>
      </c>
      <c r="G12" s="1791">
        <f>ROUND(D12*F12,2)</f>
        <v>23812.34</v>
      </c>
      <c r="H12" s="1799"/>
      <c r="I12" s="1799"/>
      <c r="J12" s="1799"/>
      <c r="K12" s="1800"/>
      <c r="L12" s="1801"/>
      <c r="M12" s="1798"/>
    </row>
    <row r="13" spans="1:13" ht="38.25" x14ac:dyDescent="0.2">
      <c r="A13" s="1266"/>
      <c r="B13" s="1267" t="s">
        <v>687</v>
      </c>
      <c r="C13" s="1266" t="s">
        <v>688</v>
      </c>
      <c r="D13" s="1299">
        <f>Геология!G20</f>
        <v>10685.8</v>
      </c>
      <c r="E13" s="1465" t="s">
        <v>695</v>
      </c>
      <c r="F13" s="1268">
        <v>3.93</v>
      </c>
      <c r="G13" s="1791">
        <f t="shared" ref="G13:G14" si="0">ROUND(D13*F13,2)</f>
        <v>41995.19</v>
      </c>
      <c r="H13" s="1799"/>
      <c r="I13" s="1799"/>
      <c r="J13" s="1799"/>
      <c r="K13" s="1800"/>
      <c r="L13" s="1801"/>
      <c r="M13" s="1798"/>
    </row>
    <row r="14" spans="1:13" ht="38.25" x14ac:dyDescent="0.2">
      <c r="A14" s="1266"/>
      <c r="B14" s="1267" t="s">
        <v>690</v>
      </c>
      <c r="C14" s="1266" t="s">
        <v>688</v>
      </c>
      <c r="D14" s="1299">
        <f>геодезия!G21</f>
        <v>3643.2</v>
      </c>
      <c r="E14" s="1465" t="s">
        <v>695</v>
      </c>
      <c r="F14" s="1268">
        <v>3.93</v>
      </c>
      <c r="G14" s="1791">
        <f t="shared" si="0"/>
        <v>14317.78</v>
      </c>
      <c r="H14" s="1799"/>
      <c r="I14" s="1799"/>
      <c r="J14" s="1799"/>
      <c r="K14" s="1800"/>
      <c r="L14" s="1801"/>
      <c r="M14" s="1798"/>
    </row>
    <row r="15" spans="1:13" s="1602" customFormat="1" ht="38.25" hidden="1" x14ac:dyDescent="0.2">
      <c r="A15" s="1597">
        <v>2</v>
      </c>
      <c r="B15" s="1598" t="s">
        <v>543</v>
      </c>
      <c r="C15" s="1597" t="s">
        <v>289</v>
      </c>
      <c r="D15" s="1599">
        <f>обслед!G96*0</f>
        <v>0</v>
      </c>
      <c r="E15" s="1600" t="s">
        <v>696</v>
      </c>
      <c r="F15" s="1601">
        <v>3.5859999999999999</v>
      </c>
      <c r="G15" s="1792">
        <f t="shared" ref="G15:G18" si="1">ROUND(D15*F15,2)</f>
        <v>0</v>
      </c>
      <c r="H15" s="1802"/>
      <c r="I15" s="1802"/>
      <c r="J15" s="1802"/>
      <c r="K15" s="1802"/>
      <c r="L15" s="1803"/>
      <c r="M15" s="1804"/>
    </row>
    <row r="16" spans="1:13" s="1602" customFormat="1" ht="47.25" hidden="1" x14ac:dyDescent="0.2">
      <c r="A16" s="1597">
        <v>3</v>
      </c>
      <c r="B16" s="1598" t="s">
        <v>544</v>
      </c>
      <c r="C16" s="1597" t="s">
        <v>653</v>
      </c>
      <c r="D16" s="1599">
        <f>шурф!K51*0</f>
        <v>0</v>
      </c>
      <c r="E16" s="1465" t="s">
        <v>695</v>
      </c>
      <c r="F16" s="1649">
        <v>44.5</v>
      </c>
      <c r="G16" s="1792">
        <f t="shared" si="1"/>
        <v>0</v>
      </c>
      <c r="H16" s="1802"/>
      <c r="I16" s="1802"/>
      <c r="J16" s="1802"/>
      <c r="K16" s="1802"/>
      <c r="L16" s="1803"/>
      <c r="M16" s="1804"/>
    </row>
    <row r="17" spans="1:14" s="1602" customFormat="1" ht="38.25" hidden="1" x14ac:dyDescent="0.2">
      <c r="A17" s="1597">
        <v>4</v>
      </c>
      <c r="B17" s="1598" t="s">
        <v>545</v>
      </c>
      <c r="C17" s="1597" t="s">
        <v>654</v>
      </c>
      <c r="D17" s="1599">
        <f>'оцен влиян'!G20*0</f>
        <v>0</v>
      </c>
      <c r="E17" s="1600" t="s">
        <v>696</v>
      </c>
      <c r="F17" s="1601">
        <v>3.5859999999999999</v>
      </c>
      <c r="G17" s="1792">
        <f t="shared" si="1"/>
        <v>0</v>
      </c>
      <c r="H17" s="1805"/>
      <c r="I17" s="1802"/>
      <c r="J17" s="1802"/>
      <c r="K17" s="1802"/>
      <c r="L17" s="1803"/>
      <c r="M17" s="1804"/>
    </row>
    <row r="18" spans="1:14" s="1602" customFormat="1" ht="38.25" hidden="1" x14ac:dyDescent="0.2">
      <c r="A18" s="1597">
        <v>5</v>
      </c>
      <c r="B18" s="1598" t="s">
        <v>546</v>
      </c>
      <c r="C18" s="1597" t="s">
        <v>655</v>
      </c>
      <c r="D18" s="1599">
        <f>мониторинг!H70*0</f>
        <v>0</v>
      </c>
      <c r="E18" s="1600" t="s">
        <v>696</v>
      </c>
      <c r="F18" s="1601">
        <v>3.5859999999999999</v>
      </c>
      <c r="G18" s="1792">
        <f t="shared" si="1"/>
        <v>0</v>
      </c>
      <c r="H18" s="1802"/>
      <c r="I18" s="1802"/>
      <c r="J18" s="1802"/>
      <c r="K18" s="1802"/>
      <c r="L18" s="1803"/>
      <c r="M18" s="1804"/>
    </row>
    <row r="19" spans="1:14" x14ac:dyDescent="0.2">
      <c r="A19" s="1271"/>
      <c r="B19" s="1272" t="s">
        <v>53</v>
      </c>
      <c r="C19" s="1272"/>
      <c r="D19" s="1300">
        <f>SUM(D12:D18)</f>
        <v>20388.12</v>
      </c>
      <c r="E19" s="1266"/>
      <c r="F19" s="1265"/>
      <c r="G19" s="1793">
        <f>SUM(G12:G18)</f>
        <v>80125.31</v>
      </c>
      <c r="H19" s="1798"/>
      <c r="I19" s="1798"/>
      <c r="J19" s="1798"/>
      <c r="K19" s="1798"/>
      <c r="L19" s="1798"/>
      <c r="M19" s="1798"/>
    </row>
    <row r="20" spans="1:14" x14ac:dyDescent="0.2">
      <c r="A20" s="1266"/>
      <c r="B20" s="1263" t="s">
        <v>54</v>
      </c>
      <c r="C20" s="1266"/>
      <c r="D20" s="1301"/>
      <c r="E20" s="1266"/>
      <c r="F20" s="1269"/>
      <c r="G20" s="1794"/>
      <c r="H20" s="1797"/>
      <c r="I20" s="1797"/>
      <c r="J20" s="1797"/>
      <c r="K20" s="1798"/>
      <c r="L20" s="1798"/>
      <c r="M20" s="1798"/>
    </row>
    <row r="21" spans="1:14" ht="42.75" customHeight="1" x14ac:dyDescent="0.2">
      <c r="A21" s="1266">
        <v>1</v>
      </c>
      <c r="B21" s="1267" t="s">
        <v>55</v>
      </c>
      <c r="C21" s="1266" t="s">
        <v>657</v>
      </c>
      <c r="D21" s="1299">
        <f>Т.с.!H89</f>
        <v>453866.88</v>
      </c>
      <c r="E21" s="1827" t="s">
        <v>696</v>
      </c>
      <c r="F21" s="1828">
        <v>3.5859999999999999</v>
      </c>
      <c r="G21" s="1791">
        <f>ROUND(D21*F21,2)</f>
        <v>1627566.63</v>
      </c>
      <c r="H21" s="1806"/>
      <c r="I21" s="1807"/>
      <c r="J21" s="1806"/>
      <c r="K21" s="1806"/>
      <c r="L21" s="1801"/>
      <c r="M21" s="1798"/>
    </row>
    <row r="22" spans="1:14" ht="38.25" x14ac:dyDescent="0.2">
      <c r="A22" s="1266">
        <v>2</v>
      </c>
      <c r="B22" s="1267" t="s">
        <v>643</v>
      </c>
      <c r="C22" s="1266" t="s">
        <v>144</v>
      </c>
      <c r="D22" s="1299">
        <f>'ООС+ТР'!H74</f>
        <v>72995.199999999997</v>
      </c>
      <c r="E22" s="1827" t="s">
        <v>696</v>
      </c>
      <c r="F22" s="1828">
        <v>3.5859999999999999</v>
      </c>
      <c r="G22" s="1791">
        <f t="shared" ref="G22:G27" si="2">ROUND(D22*F22,2)</f>
        <v>261760.79</v>
      </c>
      <c r="H22" s="1798"/>
      <c r="I22" s="1798"/>
      <c r="J22" s="1798"/>
      <c r="K22" s="1808"/>
      <c r="L22" s="1798"/>
      <c r="M22" s="1798"/>
    </row>
    <row r="23" spans="1:14" s="1602" customFormat="1" ht="38.25" hidden="1" x14ac:dyDescent="0.2">
      <c r="A23" s="1597">
        <v>3</v>
      </c>
      <c r="B23" s="1598" t="s">
        <v>633</v>
      </c>
      <c r="C23" s="1597" t="s">
        <v>144</v>
      </c>
      <c r="D23" s="1599">
        <f>'ТР '!H45*0</f>
        <v>0</v>
      </c>
      <c r="E23" s="1827" t="s">
        <v>560</v>
      </c>
      <c r="F23" s="1828">
        <v>3.5049999999999999</v>
      </c>
      <c r="G23" s="1792">
        <f t="shared" ref="G23" si="3">ROUND(D23*F23,2)</f>
        <v>0</v>
      </c>
      <c r="H23" s="1809"/>
      <c r="I23" s="1804"/>
      <c r="J23" s="1804"/>
      <c r="K23" s="1804"/>
      <c r="L23" s="1804"/>
      <c r="M23" s="1804"/>
    </row>
    <row r="24" spans="1:14" ht="38.25" hidden="1" x14ac:dyDescent="0.2">
      <c r="A24" s="1266">
        <v>4</v>
      </c>
      <c r="B24" s="1273" t="s">
        <v>61</v>
      </c>
      <c r="C24" s="1266" t="s">
        <v>145</v>
      </c>
      <c r="D24" s="1299">
        <f>ПОЖ!H17</f>
        <v>4500</v>
      </c>
      <c r="E24" s="1827" t="s">
        <v>696</v>
      </c>
      <c r="F24" s="1828">
        <v>3.5859999999999999</v>
      </c>
      <c r="G24" s="1791">
        <f t="shared" si="2"/>
        <v>16137</v>
      </c>
      <c r="H24" s="1798"/>
      <c r="I24" s="1798"/>
      <c r="J24" s="1798"/>
      <c r="K24" s="1808"/>
      <c r="L24" s="1798"/>
      <c r="M24" s="1798"/>
    </row>
    <row r="25" spans="1:14" ht="38.25" x14ac:dyDescent="0.2">
      <c r="A25" s="1266">
        <v>3</v>
      </c>
      <c r="B25" s="1274" t="s">
        <v>111</v>
      </c>
      <c r="C25" s="1266" t="s">
        <v>147</v>
      </c>
      <c r="D25" s="1299">
        <f>СОГЛ!G17</f>
        <v>49562.95</v>
      </c>
      <c r="E25" s="1827" t="s">
        <v>696</v>
      </c>
      <c r="F25" s="1828">
        <v>3.5859999999999999</v>
      </c>
      <c r="G25" s="1791">
        <f t="shared" si="2"/>
        <v>177732.74</v>
      </c>
      <c r="H25" s="1798"/>
      <c r="I25" s="1798"/>
      <c r="J25" s="1798"/>
      <c r="K25" s="1798"/>
      <c r="L25" s="1798"/>
      <c r="M25" s="1798"/>
    </row>
    <row r="26" spans="1:14" ht="38.25" x14ac:dyDescent="0.2">
      <c r="A26" s="1266">
        <v>4</v>
      </c>
      <c r="B26" s="1274" t="s">
        <v>122</v>
      </c>
      <c r="C26" s="1266" t="s">
        <v>146</v>
      </c>
      <c r="D26" s="1299">
        <f>РДП!H24</f>
        <v>67849.2</v>
      </c>
      <c r="E26" s="1465" t="s">
        <v>695</v>
      </c>
      <c r="F26" s="1271">
        <v>3.92</v>
      </c>
      <c r="G26" s="1791">
        <f>ROUND(D26*F26,2)</f>
        <v>265968.86</v>
      </c>
      <c r="H26" s="1806"/>
      <c r="I26" s="1807"/>
      <c r="J26" s="1806"/>
      <c r="K26" s="1798"/>
      <c r="L26" s="1798"/>
      <c r="M26" s="1798"/>
    </row>
    <row r="27" spans="1:14" ht="38.25" hidden="1" x14ac:dyDescent="0.2">
      <c r="A27" s="1266">
        <v>7</v>
      </c>
      <c r="B27" s="1274" t="s">
        <v>290</v>
      </c>
      <c r="C27" s="1266" t="s">
        <v>656</v>
      </c>
      <c r="D27" s="1299">
        <f>'Перекладка '!H86</f>
        <v>0</v>
      </c>
      <c r="E27" s="1827" t="s">
        <v>696</v>
      </c>
      <c r="F27" s="1828">
        <v>3.5859999999999999</v>
      </c>
      <c r="G27" s="1791">
        <f t="shared" si="2"/>
        <v>0</v>
      </c>
      <c r="H27" s="1798"/>
      <c r="I27" s="1798"/>
      <c r="J27" s="1798"/>
      <c r="K27" s="1810"/>
      <c r="L27" s="1798"/>
      <c r="M27" s="1798"/>
    </row>
    <row r="28" spans="1:14" ht="63" hidden="1" x14ac:dyDescent="0.2">
      <c r="A28" s="1266">
        <v>8</v>
      </c>
      <c r="B28" s="1521" t="s">
        <v>663</v>
      </c>
      <c r="C28" s="1266" t="s">
        <v>668</v>
      </c>
      <c r="D28" s="1299">
        <f>'размножение проекта'!E40</f>
        <v>0</v>
      </c>
      <c r="E28" s="1465" t="s">
        <v>560</v>
      </c>
      <c r="F28" s="1270">
        <v>3.5049999999999999</v>
      </c>
      <c r="G28" s="1791">
        <f>ROUND(D28*F28,2)</f>
        <v>0</v>
      </c>
      <c r="H28" s="1798"/>
      <c r="I28" s="1798"/>
      <c r="J28" s="1798"/>
      <c r="K28" s="1798"/>
      <c r="L28" s="1798"/>
      <c r="M28" s="1798"/>
    </row>
    <row r="29" spans="1:14" ht="19.5" customHeight="1" x14ac:dyDescent="0.2">
      <c r="A29" s="1266"/>
      <c r="B29" s="1522" t="s">
        <v>75</v>
      </c>
      <c r="C29" s="1266"/>
      <c r="D29" s="1301">
        <f>SUM(D21:D28)</f>
        <v>648774.22999999986</v>
      </c>
      <c r="E29" s="1275"/>
      <c r="F29" s="1265"/>
      <c r="G29" s="1793">
        <f>SUM(G21:G28)</f>
        <v>2349166.02</v>
      </c>
      <c r="H29" s="1811"/>
      <c r="I29" s="1812"/>
      <c r="J29" s="1813"/>
      <c r="K29" s="1814"/>
      <c r="L29" s="1798"/>
      <c r="M29" s="1815"/>
      <c r="N29" s="1701" t="s">
        <v>717</v>
      </c>
    </row>
    <row r="30" spans="1:14" ht="42.75" customHeight="1" x14ac:dyDescent="0.2">
      <c r="A30" s="1266">
        <v>1</v>
      </c>
      <c r="B30" s="1523" t="s">
        <v>712</v>
      </c>
      <c r="C30" s="1266" t="s">
        <v>688</v>
      </c>
      <c r="D30" s="1299">
        <f>АН!F18</f>
        <v>13744.26</v>
      </c>
      <c r="E30" s="1827" t="s">
        <v>696</v>
      </c>
      <c r="F30" s="1828">
        <v>3.5859999999999999</v>
      </c>
      <c r="G30" s="1795">
        <f>D30*F30</f>
        <v>49286.916359999996</v>
      </c>
      <c r="H30" s="1816"/>
      <c r="I30" s="1812"/>
      <c r="J30" s="1813"/>
      <c r="K30" s="1814"/>
      <c r="L30" s="1798"/>
      <c r="M30" s="1798"/>
    </row>
    <row r="31" spans="1:14" ht="42.75" customHeight="1" x14ac:dyDescent="0.2">
      <c r="A31" s="1266">
        <v>2</v>
      </c>
      <c r="B31" s="1523" t="s">
        <v>722</v>
      </c>
      <c r="C31" s="1266"/>
      <c r="D31" s="1299">
        <f>'Расчет эскертизы'!D37</f>
        <v>91936.99</v>
      </c>
      <c r="E31" s="1827" t="s">
        <v>756</v>
      </c>
      <c r="F31" s="1828">
        <v>3.73</v>
      </c>
      <c r="G31" s="1795">
        <f>D31*F31</f>
        <v>342924.97270000004</v>
      </c>
      <c r="H31" s="1798"/>
      <c r="I31" s="1798"/>
      <c r="J31" s="1798"/>
      <c r="K31" s="1798"/>
      <c r="L31" s="1798"/>
      <c r="M31" s="1798"/>
    </row>
    <row r="32" spans="1:14" s="1279" customFormat="1" ht="19.5" customHeight="1" x14ac:dyDescent="0.2">
      <c r="A32" s="1276"/>
      <c r="B32" s="1849" t="s">
        <v>551</v>
      </c>
      <c r="C32" s="1849"/>
      <c r="D32" s="1302">
        <f>ROUND(D19+D29+D30+D31,2)</f>
        <v>774843.6</v>
      </c>
      <c r="E32" s="1277"/>
      <c r="F32" s="1278"/>
      <c r="G32" s="1796">
        <f>G30+G29+G19+G31</f>
        <v>2821503.21906</v>
      </c>
      <c r="H32" s="1816"/>
      <c r="I32" s="1816"/>
      <c r="J32" s="1816"/>
      <c r="K32" s="1816"/>
      <c r="L32" s="1816"/>
      <c r="M32" s="1816"/>
    </row>
    <row r="33" spans="1:13" s="69" customFormat="1" x14ac:dyDescent="0.2">
      <c r="D33" s="71"/>
      <c r="E33" s="957"/>
      <c r="G33" s="77"/>
      <c r="H33" s="337"/>
      <c r="I33" s="1812"/>
      <c r="J33" s="1813"/>
      <c r="K33" s="1814"/>
    </row>
    <row r="34" spans="1:13" s="1351" customFormat="1" ht="16.5" x14ac:dyDescent="0.2">
      <c r="A34" s="1347"/>
      <c r="B34" s="1843" t="s">
        <v>66</v>
      </c>
      <c r="C34" s="1843"/>
      <c r="D34" s="1348"/>
      <c r="E34" s="1349"/>
      <c r="F34" s="1349"/>
      <c r="G34" s="1350">
        <f>G32</f>
        <v>2821503.21906</v>
      </c>
      <c r="H34" s="1349"/>
      <c r="I34" s="1349"/>
      <c r="J34" s="1349"/>
      <c r="K34" s="1349"/>
      <c r="L34" s="1349"/>
      <c r="M34" s="1349"/>
    </row>
    <row r="35" spans="1:13" s="1351" customFormat="1" ht="16.5" x14ac:dyDescent="0.2">
      <c r="A35" s="1347"/>
      <c r="B35" s="1843" t="s">
        <v>1</v>
      </c>
      <c r="C35" s="1843"/>
      <c r="D35" s="1348"/>
      <c r="E35" s="1349"/>
      <c r="F35" s="1349"/>
      <c r="G35" s="1350">
        <f>ROUND(G34*0.18,2)</f>
        <v>507870.58</v>
      </c>
      <c r="H35" s="1349"/>
      <c r="I35" s="1817"/>
      <c r="J35" s="1818"/>
      <c r="K35" s="1652"/>
      <c r="L35" s="1652"/>
      <c r="M35" s="1349"/>
    </row>
    <row r="36" spans="1:13" s="1351" customFormat="1" ht="16.5" x14ac:dyDescent="0.2">
      <c r="A36" s="1347"/>
      <c r="B36" s="1843" t="s">
        <v>67</v>
      </c>
      <c r="C36" s="1843"/>
      <c r="D36" s="1348"/>
      <c r="E36" s="1349"/>
      <c r="F36" s="1349"/>
      <c r="G36" s="1350">
        <f>SUM(G34:G35)</f>
        <v>3329373.7990600001</v>
      </c>
      <c r="H36" s="1349"/>
      <c r="I36" s="1817"/>
      <c r="J36" s="1817"/>
      <c r="K36" s="1652"/>
      <c r="L36" s="1652"/>
      <c r="M36" s="1349"/>
    </row>
    <row r="37" spans="1:13" s="1283" customFormat="1" x14ac:dyDescent="0.2">
      <c r="A37" s="1259"/>
      <c r="B37" s="1280"/>
      <c r="C37" s="1281"/>
      <c r="D37" s="1282"/>
      <c r="E37" s="1258"/>
      <c r="H37" s="1819"/>
      <c r="I37" s="1817"/>
      <c r="J37" s="1817"/>
      <c r="K37" s="1820"/>
      <c r="L37" s="1652"/>
      <c r="M37" s="1819"/>
    </row>
    <row r="38" spans="1:13" s="127" customFormat="1" x14ac:dyDescent="0.2">
      <c r="A38" s="1259"/>
      <c r="B38" s="491" t="s">
        <v>559</v>
      </c>
      <c r="C38" s="1259"/>
      <c r="D38" s="1297"/>
      <c r="E38" s="1284"/>
      <c r="G38" s="1298"/>
      <c r="I38" s="1817"/>
      <c r="J38" s="1817"/>
      <c r="K38" s="1652"/>
      <c r="L38" s="1652"/>
    </row>
    <row r="39" spans="1:13" s="1286" customFormat="1" x14ac:dyDescent="0.2">
      <c r="A39" s="1259"/>
      <c r="B39" s="136"/>
      <c r="C39" s="1259"/>
      <c r="D39" s="136"/>
      <c r="E39" s="1285"/>
      <c r="F39" s="1279"/>
      <c r="H39" s="1821"/>
      <c r="I39" s="1817"/>
      <c r="J39" s="1817"/>
      <c r="K39" s="1652"/>
      <c r="L39" s="1652"/>
      <c r="M39" s="1821"/>
    </row>
    <row r="40" spans="1:13" s="1259" customFormat="1" x14ac:dyDescent="0.2">
      <c r="A40" s="127"/>
      <c r="B40" s="1120"/>
      <c r="C40" s="127"/>
      <c r="D40" s="1120"/>
      <c r="E40" s="1287"/>
      <c r="I40" s="1817"/>
      <c r="J40" s="1817"/>
      <c r="K40" s="1652"/>
      <c r="L40" s="1652"/>
    </row>
    <row r="41" spans="1:13" s="1259" customFormat="1" x14ac:dyDescent="0.2">
      <c r="A41" s="127"/>
      <c r="B41" s="1288"/>
      <c r="C41" s="1288"/>
      <c r="D41" s="1289"/>
      <c r="E41" s="1290"/>
      <c r="I41" s="1817"/>
      <c r="J41" s="1817"/>
      <c r="K41" s="1652"/>
      <c r="L41" s="1652"/>
    </row>
    <row r="42" spans="1:13" s="1259" customFormat="1" x14ac:dyDescent="0.2">
      <c r="A42" s="127"/>
      <c r="B42" s="1288"/>
      <c r="C42" s="1288"/>
      <c r="D42" s="1291"/>
      <c r="E42" s="1290"/>
      <c r="I42" s="1817"/>
      <c r="J42" s="1817"/>
      <c r="K42" s="1652"/>
      <c r="L42" s="1652"/>
    </row>
    <row r="43" spans="1:13" s="1259" customFormat="1" x14ac:dyDescent="0.2">
      <c r="A43" s="127"/>
      <c r="B43" s="1288"/>
      <c r="C43" s="1288"/>
      <c r="D43" s="1291"/>
      <c r="E43" s="1292"/>
      <c r="I43" s="1817"/>
      <c r="J43" s="1817"/>
      <c r="K43" s="1652"/>
      <c r="L43" s="1652"/>
    </row>
    <row r="44" spans="1:13" s="1259" customFormat="1" x14ac:dyDescent="0.2">
      <c r="A44" s="127"/>
      <c r="B44" s="1288"/>
      <c r="C44" s="1288"/>
      <c r="D44" s="1291"/>
      <c r="E44" s="1290"/>
      <c r="I44" s="1817"/>
      <c r="J44" s="1817"/>
      <c r="K44" s="1652"/>
      <c r="L44" s="1652"/>
    </row>
    <row r="45" spans="1:13" x14ac:dyDescent="0.2">
      <c r="A45" s="1259"/>
      <c r="B45" s="1280"/>
      <c r="C45" s="1281"/>
      <c r="D45" s="1282"/>
      <c r="E45" s="1258"/>
      <c r="H45" s="1798"/>
      <c r="I45" s="1817"/>
      <c r="J45" s="1817"/>
      <c r="K45" s="1652"/>
      <c r="L45" s="1652"/>
      <c r="M45" s="1798"/>
    </row>
    <row r="46" spans="1:13" x14ac:dyDescent="0.2">
      <c r="A46" s="1259"/>
      <c r="B46" s="1280"/>
      <c r="C46" s="1281"/>
      <c r="D46" s="1282"/>
      <c r="E46" s="1258"/>
      <c r="H46" s="1798"/>
      <c r="I46" s="1817"/>
      <c r="J46" s="1817"/>
      <c r="K46" s="1652"/>
      <c r="L46" s="1652"/>
      <c r="M46" s="1798"/>
    </row>
    <row r="47" spans="1:13" x14ac:dyDescent="0.2">
      <c r="A47" s="1259"/>
      <c r="B47" s="1259"/>
      <c r="C47" s="1293"/>
      <c r="D47" s="1294"/>
      <c r="E47" s="1258"/>
      <c r="H47" s="1798"/>
      <c r="I47" s="1817"/>
      <c r="J47" s="1817"/>
      <c r="K47" s="1652"/>
      <c r="L47" s="1652"/>
      <c r="M47" s="1798"/>
    </row>
    <row r="48" spans="1:13" x14ac:dyDescent="0.2">
      <c r="A48" s="1295"/>
      <c r="D48" s="1296"/>
      <c r="H48" s="1798"/>
      <c r="I48" s="1817"/>
      <c r="J48" s="1817"/>
      <c r="K48" s="1652"/>
      <c r="L48" s="1652"/>
      <c r="M48" s="1798"/>
    </row>
    <row r="49" spans="8:13" x14ac:dyDescent="0.2">
      <c r="H49" s="1798"/>
      <c r="I49" s="1817"/>
      <c r="J49" s="1817"/>
      <c r="K49" s="1652"/>
      <c r="L49" s="1652"/>
      <c r="M49" s="1798"/>
    </row>
    <row r="50" spans="8:13" x14ac:dyDescent="0.2">
      <c r="H50" s="1798"/>
      <c r="I50" s="1817"/>
      <c r="J50" s="1817"/>
      <c r="K50" s="1652"/>
      <c r="L50" s="1652"/>
      <c r="M50" s="1798"/>
    </row>
    <row r="51" spans="8:13" x14ac:dyDescent="0.2">
      <c r="H51" s="1798"/>
      <c r="I51" s="1817"/>
      <c r="J51" s="1817"/>
      <c r="K51" s="1652"/>
      <c r="L51" s="1652"/>
      <c r="M51" s="1798"/>
    </row>
    <row r="52" spans="8:13" x14ac:dyDescent="0.2">
      <c r="H52" s="1798"/>
      <c r="I52" s="1817"/>
      <c r="J52" s="1817"/>
      <c r="K52" s="1652"/>
      <c r="L52" s="1652"/>
      <c r="M52" s="1798"/>
    </row>
    <row r="53" spans="8:13" x14ac:dyDescent="0.2">
      <c r="H53" s="1798"/>
      <c r="I53" s="1817"/>
      <c r="J53" s="1817"/>
      <c r="K53" s="1652"/>
      <c r="L53" s="1652"/>
      <c r="M53" s="1798"/>
    </row>
    <row r="54" spans="8:13" x14ac:dyDescent="0.2">
      <c r="H54" s="1798"/>
      <c r="I54" s="1817"/>
      <c r="J54" s="1817"/>
      <c r="K54" s="1652"/>
      <c r="L54" s="1652"/>
      <c r="M54" s="1798"/>
    </row>
    <row r="55" spans="8:13" x14ac:dyDescent="0.2">
      <c r="H55" s="1798"/>
      <c r="I55" s="1817"/>
      <c r="J55" s="1817"/>
      <c r="K55" s="1652"/>
      <c r="L55" s="1652"/>
      <c r="M55" s="1798"/>
    </row>
    <row r="56" spans="8:13" x14ac:dyDescent="0.2">
      <c r="H56" s="1798"/>
      <c r="I56" s="1817"/>
      <c r="J56" s="1817"/>
      <c r="K56" s="1652"/>
      <c r="L56" s="1652"/>
      <c r="M56" s="1798"/>
    </row>
    <row r="57" spans="8:13" x14ac:dyDescent="0.2">
      <c r="H57" s="1798"/>
      <c r="I57" s="1817"/>
      <c r="J57" s="1817"/>
      <c r="K57" s="1652"/>
      <c r="L57" s="1652"/>
      <c r="M57" s="1798"/>
    </row>
    <row r="58" spans="8:13" x14ac:dyDescent="0.2">
      <c r="H58" s="1798"/>
      <c r="I58" s="1817"/>
      <c r="J58" s="1817"/>
      <c r="K58" s="1652"/>
      <c r="L58" s="1652"/>
      <c r="M58" s="1798"/>
    </row>
    <row r="59" spans="8:13" x14ac:dyDescent="0.2">
      <c r="H59" s="1798"/>
      <c r="I59" s="1817"/>
      <c r="J59" s="1817"/>
      <c r="K59" s="1652"/>
      <c r="L59" s="1652"/>
      <c r="M59" s="1798"/>
    </row>
    <row r="60" spans="8:13" x14ac:dyDescent="0.2">
      <c r="H60" s="1798"/>
      <c r="I60" s="1817"/>
      <c r="J60" s="1817"/>
      <c r="K60" s="1652"/>
      <c r="L60" s="1652"/>
      <c r="M60" s="1798"/>
    </row>
    <row r="61" spans="8:13" x14ac:dyDescent="0.2">
      <c r="H61" s="1798"/>
      <c r="I61" s="1817"/>
      <c r="J61" s="1817"/>
      <c r="K61" s="1652"/>
      <c r="L61" s="1652"/>
      <c r="M61" s="1798"/>
    </row>
    <row r="62" spans="8:13" x14ac:dyDescent="0.2">
      <c r="H62" s="1798"/>
      <c r="I62" s="1817"/>
      <c r="J62" s="1817"/>
      <c r="K62" s="1652"/>
      <c r="L62" s="1652"/>
      <c r="M62" s="1798"/>
    </row>
    <row r="63" spans="8:13" x14ac:dyDescent="0.2">
      <c r="H63" s="1798"/>
      <c r="I63" s="1817"/>
      <c r="J63" s="1817"/>
      <c r="K63" s="1652"/>
      <c r="L63" s="1652"/>
      <c r="M63" s="1798"/>
    </row>
    <row r="64" spans="8:13" x14ac:dyDescent="0.2">
      <c r="H64" s="1798"/>
      <c r="I64" s="1817"/>
      <c r="J64" s="1817"/>
      <c r="K64" s="1652"/>
      <c r="L64" s="1652"/>
      <c r="M64" s="1798"/>
    </row>
  </sheetData>
  <mergeCells count="14">
    <mergeCell ref="H9:K10"/>
    <mergeCell ref="A5:G5"/>
    <mergeCell ref="A7:G7"/>
    <mergeCell ref="A6:G6"/>
    <mergeCell ref="B34:C34"/>
    <mergeCell ref="A9:A10"/>
    <mergeCell ref="B35:C35"/>
    <mergeCell ref="D9:D10"/>
    <mergeCell ref="E9:F9"/>
    <mergeCell ref="G9:G10"/>
    <mergeCell ref="B36:C36"/>
    <mergeCell ref="B9:B10"/>
    <mergeCell ref="C9:C10"/>
    <mergeCell ref="B32:C32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1" fitToHeight="21" orientation="portrait" r:id="rId1"/>
  <headerFooter alignWithMargins="0"/>
  <rowBreaks count="1" manualBreakCount="1">
    <brk id="37" max="6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3"/>
  <sheetViews>
    <sheetView view="pageBreakPreview" zoomScale="90" zoomScaleNormal="100" zoomScaleSheetLayoutView="90" workbookViewId="0">
      <selection activeCell="I33" sqref="I33"/>
    </sheetView>
  </sheetViews>
  <sheetFormatPr defaultColWidth="8.85546875" defaultRowHeight="15.75" x14ac:dyDescent="0.2"/>
  <cols>
    <col min="1" max="1" width="5" style="446" customWidth="1"/>
    <col min="2" max="2" width="10.5703125" style="446" customWidth="1"/>
    <col min="3" max="3" width="8.85546875" style="446" customWidth="1"/>
    <col min="4" max="4" width="13.42578125" style="446" customWidth="1"/>
    <col min="5" max="5" width="13.5703125" style="446" customWidth="1"/>
    <col min="6" max="6" width="12" style="446" customWidth="1"/>
    <col min="7" max="7" width="14.140625" style="446" customWidth="1"/>
    <col min="8" max="8" width="12.42578125" style="446" customWidth="1"/>
    <col min="9" max="9" width="13.140625" style="446" customWidth="1"/>
    <col min="10" max="10" width="13" style="446" customWidth="1"/>
    <col min="11" max="11" width="14.7109375" style="446" customWidth="1"/>
    <col min="12" max="256" width="8.85546875" style="446"/>
    <col min="257" max="257" width="5" style="446" customWidth="1"/>
    <col min="258" max="258" width="10.5703125" style="446" customWidth="1"/>
    <col min="259" max="259" width="8.85546875" style="446" customWidth="1"/>
    <col min="260" max="260" width="12" style="446" customWidth="1"/>
    <col min="261" max="261" width="13.5703125" style="446" customWidth="1"/>
    <col min="262" max="262" width="12" style="446" customWidth="1"/>
    <col min="263" max="263" width="14.140625" style="446" customWidth="1"/>
    <col min="264" max="264" width="11" style="446" customWidth="1"/>
    <col min="265" max="265" width="11.5703125" style="446" customWidth="1"/>
    <col min="266" max="266" width="13" style="446" customWidth="1"/>
    <col min="267" max="267" width="14.7109375" style="446" customWidth="1"/>
    <col min="268" max="512" width="8.85546875" style="446"/>
    <col min="513" max="513" width="5" style="446" customWidth="1"/>
    <col min="514" max="514" width="10.5703125" style="446" customWidth="1"/>
    <col min="515" max="515" width="8.85546875" style="446" customWidth="1"/>
    <col min="516" max="516" width="12" style="446" customWidth="1"/>
    <col min="517" max="517" width="13.5703125" style="446" customWidth="1"/>
    <col min="518" max="518" width="12" style="446" customWidth="1"/>
    <col min="519" max="519" width="14.140625" style="446" customWidth="1"/>
    <col min="520" max="520" width="11" style="446" customWidth="1"/>
    <col min="521" max="521" width="11.5703125" style="446" customWidth="1"/>
    <col min="522" max="522" width="13" style="446" customWidth="1"/>
    <col min="523" max="523" width="14.7109375" style="446" customWidth="1"/>
    <col min="524" max="768" width="8.85546875" style="446"/>
    <col min="769" max="769" width="5" style="446" customWidth="1"/>
    <col min="770" max="770" width="10.5703125" style="446" customWidth="1"/>
    <col min="771" max="771" width="8.85546875" style="446" customWidth="1"/>
    <col min="772" max="772" width="12" style="446" customWidth="1"/>
    <col min="773" max="773" width="13.5703125" style="446" customWidth="1"/>
    <col min="774" max="774" width="12" style="446" customWidth="1"/>
    <col min="775" max="775" width="14.140625" style="446" customWidth="1"/>
    <col min="776" max="776" width="11" style="446" customWidth="1"/>
    <col min="777" max="777" width="11.5703125" style="446" customWidth="1"/>
    <col min="778" max="778" width="13" style="446" customWidth="1"/>
    <col min="779" max="779" width="14.7109375" style="446" customWidth="1"/>
    <col min="780" max="1024" width="8.85546875" style="446"/>
    <col min="1025" max="1025" width="5" style="446" customWidth="1"/>
    <col min="1026" max="1026" width="10.5703125" style="446" customWidth="1"/>
    <col min="1027" max="1027" width="8.85546875" style="446" customWidth="1"/>
    <col min="1028" max="1028" width="12" style="446" customWidth="1"/>
    <col min="1029" max="1029" width="13.5703125" style="446" customWidth="1"/>
    <col min="1030" max="1030" width="12" style="446" customWidth="1"/>
    <col min="1031" max="1031" width="14.140625" style="446" customWidth="1"/>
    <col min="1032" max="1032" width="11" style="446" customWidth="1"/>
    <col min="1033" max="1033" width="11.5703125" style="446" customWidth="1"/>
    <col min="1034" max="1034" width="13" style="446" customWidth="1"/>
    <col min="1035" max="1035" width="14.7109375" style="446" customWidth="1"/>
    <col min="1036" max="1280" width="8.85546875" style="446"/>
    <col min="1281" max="1281" width="5" style="446" customWidth="1"/>
    <col min="1282" max="1282" width="10.5703125" style="446" customWidth="1"/>
    <col min="1283" max="1283" width="8.85546875" style="446" customWidth="1"/>
    <col min="1284" max="1284" width="12" style="446" customWidth="1"/>
    <col min="1285" max="1285" width="13.5703125" style="446" customWidth="1"/>
    <col min="1286" max="1286" width="12" style="446" customWidth="1"/>
    <col min="1287" max="1287" width="14.140625" style="446" customWidth="1"/>
    <col min="1288" max="1288" width="11" style="446" customWidth="1"/>
    <col min="1289" max="1289" width="11.5703125" style="446" customWidth="1"/>
    <col min="1290" max="1290" width="13" style="446" customWidth="1"/>
    <col min="1291" max="1291" width="14.7109375" style="446" customWidth="1"/>
    <col min="1292" max="1536" width="8.85546875" style="446"/>
    <col min="1537" max="1537" width="5" style="446" customWidth="1"/>
    <col min="1538" max="1538" width="10.5703125" style="446" customWidth="1"/>
    <col min="1539" max="1539" width="8.85546875" style="446" customWidth="1"/>
    <col min="1540" max="1540" width="12" style="446" customWidth="1"/>
    <col min="1541" max="1541" width="13.5703125" style="446" customWidth="1"/>
    <col min="1542" max="1542" width="12" style="446" customWidth="1"/>
    <col min="1543" max="1543" width="14.140625" style="446" customWidth="1"/>
    <col min="1544" max="1544" width="11" style="446" customWidth="1"/>
    <col min="1545" max="1545" width="11.5703125" style="446" customWidth="1"/>
    <col min="1546" max="1546" width="13" style="446" customWidth="1"/>
    <col min="1547" max="1547" width="14.7109375" style="446" customWidth="1"/>
    <col min="1548" max="1792" width="8.85546875" style="446"/>
    <col min="1793" max="1793" width="5" style="446" customWidth="1"/>
    <col min="1794" max="1794" width="10.5703125" style="446" customWidth="1"/>
    <col min="1795" max="1795" width="8.85546875" style="446" customWidth="1"/>
    <col min="1796" max="1796" width="12" style="446" customWidth="1"/>
    <col min="1797" max="1797" width="13.5703125" style="446" customWidth="1"/>
    <col min="1798" max="1798" width="12" style="446" customWidth="1"/>
    <col min="1799" max="1799" width="14.140625" style="446" customWidth="1"/>
    <col min="1800" max="1800" width="11" style="446" customWidth="1"/>
    <col min="1801" max="1801" width="11.5703125" style="446" customWidth="1"/>
    <col min="1802" max="1802" width="13" style="446" customWidth="1"/>
    <col min="1803" max="1803" width="14.7109375" style="446" customWidth="1"/>
    <col min="1804" max="2048" width="8.85546875" style="446"/>
    <col min="2049" max="2049" width="5" style="446" customWidth="1"/>
    <col min="2050" max="2050" width="10.5703125" style="446" customWidth="1"/>
    <col min="2051" max="2051" width="8.85546875" style="446" customWidth="1"/>
    <col min="2052" max="2052" width="12" style="446" customWidth="1"/>
    <col min="2053" max="2053" width="13.5703125" style="446" customWidth="1"/>
    <col min="2054" max="2054" width="12" style="446" customWidth="1"/>
    <col min="2055" max="2055" width="14.140625" style="446" customWidth="1"/>
    <col min="2056" max="2056" width="11" style="446" customWidth="1"/>
    <col min="2057" max="2057" width="11.5703125" style="446" customWidth="1"/>
    <col min="2058" max="2058" width="13" style="446" customWidth="1"/>
    <col min="2059" max="2059" width="14.7109375" style="446" customWidth="1"/>
    <col min="2060" max="2304" width="8.85546875" style="446"/>
    <col min="2305" max="2305" width="5" style="446" customWidth="1"/>
    <col min="2306" max="2306" width="10.5703125" style="446" customWidth="1"/>
    <col min="2307" max="2307" width="8.85546875" style="446" customWidth="1"/>
    <col min="2308" max="2308" width="12" style="446" customWidth="1"/>
    <col min="2309" max="2309" width="13.5703125" style="446" customWidth="1"/>
    <col min="2310" max="2310" width="12" style="446" customWidth="1"/>
    <col min="2311" max="2311" width="14.140625" style="446" customWidth="1"/>
    <col min="2312" max="2312" width="11" style="446" customWidth="1"/>
    <col min="2313" max="2313" width="11.5703125" style="446" customWidth="1"/>
    <col min="2314" max="2314" width="13" style="446" customWidth="1"/>
    <col min="2315" max="2315" width="14.7109375" style="446" customWidth="1"/>
    <col min="2316" max="2560" width="8.85546875" style="446"/>
    <col min="2561" max="2561" width="5" style="446" customWidth="1"/>
    <col min="2562" max="2562" width="10.5703125" style="446" customWidth="1"/>
    <col min="2563" max="2563" width="8.85546875" style="446" customWidth="1"/>
    <col min="2564" max="2564" width="12" style="446" customWidth="1"/>
    <col min="2565" max="2565" width="13.5703125" style="446" customWidth="1"/>
    <col min="2566" max="2566" width="12" style="446" customWidth="1"/>
    <col min="2567" max="2567" width="14.140625" style="446" customWidth="1"/>
    <col min="2568" max="2568" width="11" style="446" customWidth="1"/>
    <col min="2569" max="2569" width="11.5703125" style="446" customWidth="1"/>
    <col min="2570" max="2570" width="13" style="446" customWidth="1"/>
    <col min="2571" max="2571" width="14.7109375" style="446" customWidth="1"/>
    <col min="2572" max="2816" width="8.85546875" style="446"/>
    <col min="2817" max="2817" width="5" style="446" customWidth="1"/>
    <col min="2818" max="2818" width="10.5703125" style="446" customWidth="1"/>
    <col min="2819" max="2819" width="8.85546875" style="446" customWidth="1"/>
    <col min="2820" max="2820" width="12" style="446" customWidth="1"/>
    <col min="2821" max="2821" width="13.5703125" style="446" customWidth="1"/>
    <col min="2822" max="2822" width="12" style="446" customWidth="1"/>
    <col min="2823" max="2823" width="14.140625" style="446" customWidth="1"/>
    <col min="2824" max="2824" width="11" style="446" customWidth="1"/>
    <col min="2825" max="2825" width="11.5703125" style="446" customWidth="1"/>
    <col min="2826" max="2826" width="13" style="446" customWidth="1"/>
    <col min="2827" max="2827" width="14.7109375" style="446" customWidth="1"/>
    <col min="2828" max="3072" width="8.85546875" style="446"/>
    <col min="3073" max="3073" width="5" style="446" customWidth="1"/>
    <col min="3074" max="3074" width="10.5703125" style="446" customWidth="1"/>
    <col min="3075" max="3075" width="8.85546875" style="446" customWidth="1"/>
    <col min="3076" max="3076" width="12" style="446" customWidth="1"/>
    <col min="3077" max="3077" width="13.5703125" style="446" customWidth="1"/>
    <col min="3078" max="3078" width="12" style="446" customWidth="1"/>
    <col min="3079" max="3079" width="14.140625" style="446" customWidth="1"/>
    <col min="3080" max="3080" width="11" style="446" customWidth="1"/>
    <col min="3081" max="3081" width="11.5703125" style="446" customWidth="1"/>
    <col min="3082" max="3082" width="13" style="446" customWidth="1"/>
    <col min="3083" max="3083" width="14.7109375" style="446" customWidth="1"/>
    <col min="3084" max="3328" width="8.85546875" style="446"/>
    <col min="3329" max="3329" width="5" style="446" customWidth="1"/>
    <col min="3330" max="3330" width="10.5703125" style="446" customWidth="1"/>
    <col min="3331" max="3331" width="8.85546875" style="446" customWidth="1"/>
    <col min="3332" max="3332" width="12" style="446" customWidth="1"/>
    <col min="3333" max="3333" width="13.5703125" style="446" customWidth="1"/>
    <col min="3334" max="3334" width="12" style="446" customWidth="1"/>
    <col min="3335" max="3335" width="14.140625" style="446" customWidth="1"/>
    <col min="3336" max="3336" width="11" style="446" customWidth="1"/>
    <col min="3337" max="3337" width="11.5703125" style="446" customWidth="1"/>
    <col min="3338" max="3338" width="13" style="446" customWidth="1"/>
    <col min="3339" max="3339" width="14.7109375" style="446" customWidth="1"/>
    <col min="3340" max="3584" width="8.85546875" style="446"/>
    <col min="3585" max="3585" width="5" style="446" customWidth="1"/>
    <col min="3586" max="3586" width="10.5703125" style="446" customWidth="1"/>
    <col min="3587" max="3587" width="8.85546875" style="446" customWidth="1"/>
    <col min="3588" max="3588" width="12" style="446" customWidth="1"/>
    <col min="3589" max="3589" width="13.5703125" style="446" customWidth="1"/>
    <col min="3590" max="3590" width="12" style="446" customWidth="1"/>
    <col min="3591" max="3591" width="14.140625" style="446" customWidth="1"/>
    <col min="3592" max="3592" width="11" style="446" customWidth="1"/>
    <col min="3593" max="3593" width="11.5703125" style="446" customWidth="1"/>
    <col min="3594" max="3594" width="13" style="446" customWidth="1"/>
    <col min="3595" max="3595" width="14.7109375" style="446" customWidth="1"/>
    <col min="3596" max="3840" width="8.85546875" style="446"/>
    <col min="3841" max="3841" width="5" style="446" customWidth="1"/>
    <col min="3842" max="3842" width="10.5703125" style="446" customWidth="1"/>
    <col min="3843" max="3843" width="8.85546875" style="446" customWidth="1"/>
    <col min="3844" max="3844" width="12" style="446" customWidth="1"/>
    <col min="3845" max="3845" width="13.5703125" style="446" customWidth="1"/>
    <col min="3846" max="3846" width="12" style="446" customWidth="1"/>
    <col min="3847" max="3847" width="14.140625" style="446" customWidth="1"/>
    <col min="3848" max="3848" width="11" style="446" customWidth="1"/>
    <col min="3849" max="3849" width="11.5703125" style="446" customWidth="1"/>
    <col min="3850" max="3850" width="13" style="446" customWidth="1"/>
    <col min="3851" max="3851" width="14.7109375" style="446" customWidth="1"/>
    <col min="3852" max="4096" width="8.85546875" style="446"/>
    <col min="4097" max="4097" width="5" style="446" customWidth="1"/>
    <col min="4098" max="4098" width="10.5703125" style="446" customWidth="1"/>
    <col min="4099" max="4099" width="8.85546875" style="446" customWidth="1"/>
    <col min="4100" max="4100" width="12" style="446" customWidth="1"/>
    <col min="4101" max="4101" width="13.5703125" style="446" customWidth="1"/>
    <col min="4102" max="4102" width="12" style="446" customWidth="1"/>
    <col min="4103" max="4103" width="14.140625" style="446" customWidth="1"/>
    <col min="4104" max="4104" width="11" style="446" customWidth="1"/>
    <col min="4105" max="4105" width="11.5703125" style="446" customWidth="1"/>
    <col min="4106" max="4106" width="13" style="446" customWidth="1"/>
    <col min="4107" max="4107" width="14.7109375" style="446" customWidth="1"/>
    <col min="4108" max="4352" width="8.85546875" style="446"/>
    <col min="4353" max="4353" width="5" style="446" customWidth="1"/>
    <col min="4354" max="4354" width="10.5703125" style="446" customWidth="1"/>
    <col min="4355" max="4355" width="8.85546875" style="446" customWidth="1"/>
    <col min="4356" max="4356" width="12" style="446" customWidth="1"/>
    <col min="4357" max="4357" width="13.5703125" style="446" customWidth="1"/>
    <col min="4358" max="4358" width="12" style="446" customWidth="1"/>
    <col min="4359" max="4359" width="14.140625" style="446" customWidth="1"/>
    <col min="4360" max="4360" width="11" style="446" customWidth="1"/>
    <col min="4361" max="4361" width="11.5703125" style="446" customWidth="1"/>
    <col min="4362" max="4362" width="13" style="446" customWidth="1"/>
    <col min="4363" max="4363" width="14.7109375" style="446" customWidth="1"/>
    <col min="4364" max="4608" width="8.85546875" style="446"/>
    <col min="4609" max="4609" width="5" style="446" customWidth="1"/>
    <col min="4610" max="4610" width="10.5703125" style="446" customWidth="1"/>
    <col min="4611" max="4611" width="8.85546875" style="446" customWidth="1"/>
    <col min="4612" max="4612" width="12" style="446" customWidth="1"/>
    <col min="4613" max="4613" width="13.5703125" style="446" customWidth="1"/>
    <col min="4614" max="4614" width="12" style="446" customWidth="1"/>
    <col min="4615" max="4615" width="14.140625" style="446" customWidth="1"/>
    <col min="4616" max="4616" width="11" style="446" customWidth="1"/>
    <col min="4617" max="4617" width="11.5703125" style="446" customWidth="1"/>
    <col min="4618" max="4618" width="13" style="446" customWidth="1"/>
    <col min="4619" max="4619" width="14.7109375" style="446" customWidth="1"/>
    <col min="4620" max="4864" width="8.85546875" style="446"/>
    <col min="4865" max="4865" width="5" style="446" customWidth="1"/>
    <col min="4866" max="4866" width="10.5703125" style="446" customWidth="1"/>
    <col min="4867" max="4867" width="8.85546875" style="446" customWidth="1"/>
    <col min="4868" max="4868" width="12" style="446" customWidth="1"/>
    <col min="4869" max="4869" width="13.5703125" style="446" customWidth="1"/>
    <col min="4870" max="4870" width="12" style="446" customWidth="1"/>
    <col min="4871" max="4871" width="14.140625" style="446" customWidth="1"/>
    <col min="4872" max="4872" width="11" style="446" customWidth="1"/>
    <col min="4873" max="4873" width="11.5703125" style="446" customWidth="1"/>
    <col min="4874" max="4874" width="13" style="446" customWidth="1"/>
    <col min="4875" max="4875" width="14.7109375" style="446" customWidth="1"/>
    <col min="4876" max="5120" width="8.85546875" style="446"/>
    <col min="5121" max="5121" width="5" style="446" customWidth="1"/>
    <col min="5122" max="5122" width="10.5703125" style="446" customWidth="1"/>
    <col min="5123" max="5123" width="8.85546875" style="446" customWidth="1"/>
    <col min="5124" max="5124" width="12" style="446" customWidth="1"/>
    <col min="5125" max="5125" width="13.5703125" style="446" customWidth="1"/>
    <col min="5126" max="5126" width="12" style="446" customWidth="1"/>
    <col min="5127" max="5127" width="14.140625" style="446" customWidth="1"/>
    <col min="5128" max="5128" width="11" style="446" customWidth="1"/>
    <col min="5129" max="5129" width="11.5703125" style="446" customWidth="1"/>
    <col min="5130" max="5130" width="13" style="446" customWidth="1"/>
    <col min="5131" max="5131" width="14.7109375" style="446" customWidth="1"/>
    <col min="5132" max="5376" width="8.85546875" style="446"/>
    <col min="5377" max="5377" width="5" style="446" customWidth="1"/>
    <col min="5378" max="5378" width="10.5703125" style="446" customWidth="1"/>
    <col min="5379" max="5379" width="8.85546875" style="446" customWidth="1"/>
    <col min="5380" max="5380" width="12" style="446" customWidth="1"/>
    <col min="5381" max="5381" width="13.5703125" style="446" customWidth="1"/>
    <col min="5382" max="5382" width="12" style="446" customWidth="1"/>
    <col min="5383" max="5383" width="14.140625" style="446" customWidth="1"/>
    <col min="5384" max="5384" width="11" style="446" customWidth="1"/>
    <col min="5385" max="5385" width="11.5703125" style="446" customWidth="1"/>
    <col min="5386" max="5386" width="13" style="446" customWidth="1"/>
    <col min="5387" max="5387" width="14.7109375" style="446" customWidth="1"/>
    <col min="5388" max="5632" width="8.85546875" style="446"/>
    <col min="5633" max="5633" width="5" style="446" customWidth="1"/>
    <col min="5634" max="5634" width="10.5703125" style="446" customWidth="1"/>
    <col min="5635" max="5635" width="8.85546875" style="446" customWidth="1"/>
    <col min="5636" max="5636" width="12" style="446" customWidth="1"/>
    <col min="5637" max="5637" width="13.5703125" style="446" customWidth="1"/>
    <col min="5638" max="5638" width="12" style="446" customWidth="1"/>
    <col min="5639" max="5639" width="14.140625" style="446" customWidth="1"/>
    <col min="5640" max="5640" width="11" style="446" customWidth="1"/>
    <col min="5641" max="5641" width="11.5703125" style="446" customWidth="1"/>
    <col min="5642" max="5642" width="13" style="446" customWidth="1"/>
    <col min="5643" max="5643" width="14.7109375" style="446" customWidth="1"/>
    <col min="5644" max="5888" width="8.85546875" style="446"/>
    <col min="5889" max="5889" width="5" style="446" customWidth="1"/>
    <col min="5890" max="5890" width="10.5703125" style="446" customWidth="1"/>
    <col min="5891" max="5891" width="8.85546875" style="446" customWidth="1"/>
    <col min="5892" max="5892" width="12" style="446" customWidth="1"/>
    <col min="5893" max="5893" width="13.5703125" style="446" customWidth="1"/>
    <col min="5894" max="5894" width="12" style="446" customWidth="1"/>
    <col min="5895" max="5895" width="14.140625" style="446" customWidth="1"/>
    <col min="5896" max="5896" width="11" style="446" customWidth="1"/>
    <col min="5897" max="5897" width="11.5703125" style="446" customWidth="1"/>
    <col min="5898" max="5898" width="13" style="446" customWidth="1"/>
    <col min="5899" max="5899" width="14.7109375" style="446" customWidth="1"/>
    <col min="5900" max="6144" width="8.85546875" style="446"/>
    <col min="6145" max="6145" width="5" style="446" customWidth="1"/>
    <col min="6146" max="6146" width="10.5703125" style="446" customWidth="1"/>
    <col min="6147" max="6147" width="8.85546875" style="446" customWidth="1"/>
    <col min="6148" max="6148" width="12" style="446" customWidth="1"/>
    <col min="6149" max="6149" width="13.5703125" style="446" customWidth="1"/>
    <col min="6150" max="6150" width="12" style="446" customWidth="1"/>
    <col min="6151" max="6151" width="14.140625" style="446" customWidth="1"/>
    <col min="6152" max="6152" width="11" style="446" customWidth="1"/>
    <col min="6153" max="6153" width="11.5703125" style="446" customWidth="1"/>
    <col min="6154" max="6154" width="13" style="446" customWidth="1"/>
    <col min="6155" max="6155" width="14.7109375" style="446" customWidth="1"/>
    <col min="6156" max="6400" width="8.85546875" style="446"/>
    <col min="6401" max="6401" width="5" style="446" customWidth="1"/>
    <col min="6402" max="6402" width="10.5703125" style="446" customWidth="1"/>
    <col min="6403" max="6403" width="8.85546875" style="446" customWidth="1"/>
    <col min="6404" max="6404" width="12" style="446" customWidth="1"/>
    <col min="6405" max="6405" width="13.5703125" style="446" customWidth="1"/>
    <col min="6406" max="6406" width="12" style="446" customWidth="1"/>
    <col min="6407" max="6407" width="14.140625" style="446" customWidth="1"/>
    <col min="6408" max="6408" width="11" style="446" customWidth="1"/>
    <col min="6409" max="6409" width="11.5703125" style="446" customWidth="1"/>
    <col min="6410" max="6410" width="13" style="446" customWidth="1"/>
    <col min="6411" max="6411" width="14.7109375" style="446" customWidth="1"/>
    <col min="6412" max="6656" width="8.85546875" style="446"/>
    <col min="6657" max="6657" width="5" style="446" customWidth="1"/>
    <col min="6658" max="6658" width="10.5703125" style="446" customWidth="1"/>
    <col min="6659" max="6659" width="8.85546875" style="446" customWidth="1"/>
    <col min="6660" max="6660" width="12" style="446" customWidth="1"/>
    <col min="6661" max="6661" width="13.5703125" style="446" customWidth="1"/>
    <col min="6662" max="6662" width="12" style="446" customWidth="1"/>
    <col min="6663" max="6663" width="14.140625" style="446" customWidth="1"/>
    <col min="6664" max="6664" width="11" style="446" customWidth="1"/>
    <col min="6665" max="6665" width="11.5703125" style="446" customWidth="1"/>
    <col min="6666" max="6666" width="13" style="446" customWidth="1"/>
    <col min="6667" max="6667" width="14.7109375" style="446" customWidth="1"/>
    <col min="6668" max="6912" width="8.85546875" style="446"/>
    <col min="6913" max="6913" width="5" style="446" customWidth="1"/>
    <col min="6914" max="6914" width="10.5703125" style="446" customWidth="1"/>
    <col min="6915" max="6915" width="8.85546875" style="446" customWidth="1"/>
    <col min="6916" max="6916" width="12" style="446" customWidth="1"/>
    <col min="6917" max="6917" width="13.5703125" style="446" customWidth="1"/>
    <col min="6918" max="6918" width="12" style="446" customWidth="1"/>
    <col min="6919" max="6919" width="14.140625" style="446" customWidth="1"/>
    <col min="6920" max="6920" width="11" style="446" customWidth="1"/>
    <col min="6921" max="6921" width="11.5703125" style="446" customWidth="1"/>
    <col min="6922" max="6922" width="13" style="446" customWidth="1"/>
    <col min="6923" max="6923" width="14.7109375" style="446" customWidth="1"/>
    <col min="6924" max="7168" width="8.85546875" style="446"/>
    <col min="7169" max="7169" width="5" style="446" customWidth="1"/>
    <col min="7170" max="7170" width="10.5703125" style="446" customWidth="1"/>
    <col min="7171" max="7171" width="8.85546875" style="446" customWidth="1"/>
    <col min="7172" max="7172" width="12" style="446" customWidth="1"/>
    <col min="7173" max="7173" width="13.5703125" style="446" customWidth="1"/>
    <col min="7174" max="7174" width="12" style="446" customWidth="1"/>
    <col min="7175" max="7175" width="14.140625" style="446" customWidth="1"/>
    <col min="7176" max="7176" width="11" style="446" customWidth="1"/>
    <col min="7177" max="7177" width="11.5703125" style="446" customWidth="1"/>
    <col min="7178" max="7178" width="13" style="446" customWidth="1"/>
    <col min="7179" max="7179" width="14.7109375" style="446" customWidth="1"/>
    <col min="7180" max="7424" width="8.85546875" style="446"/>
    <col min="7425" max="7425" width="5" style="446" customWidth="1"/>
    <col min="7426" max="7426" width="10.5703125" style="446" customWidth="1"/>
    <col min="7427" max="7427" width="8.85546875" style="446" customWidth="1"/>
    <col min="7428" max="7428" width="12" style="446" customWidth="1"/>
    <col min="7429" max="7429" width="13.5703125" style="446" customWidth="1"/>
    <col min="7430" max="7430" width="12" style="446" customWidth="1"/>
    <col min="7431" max="7431" width="14.140625" style="446" customWidth="1"/>
    <col min="7432" max="7432" width="11" style="446" customWidth="1"/>
    <col min="7433" max="7433" width="11.5703125" style="446" customWidth="1"/>
    <col min="7434" max="7434" width="13" style="446" customWidth="1"/>
    <col min="7435" max="7435" width="14.7109375" style="446" customWidth="1"/>
    <col min="7436" max="7680" width="8.85546875" style="446"/>
    <col min="7681" max="7681" width="5" style="446" customWidth="1"/>
    <col min="7682" max="7682" width="10.5703125" style="446" customWidth="1"/>
    <col min="7683" max="7683" width="8.85546875" style="446" customWidth="1"/>
    <col min="7684" max="7684" width="12" style="446" customWidth="1"/>
    <col min="7685" max="7685" width="13.5703125" style="446" customWidth="1"/>
    <col min="7686" max="7686" width="12" style="446" customWidth="1"/>
    <col min="7687" max="7687" width="14.140625" style="446" customWidth="1"/>
    <col min="7688" max="7688" width="11" style="446" customWidth="1"/>
    <col min="7689" max="7689" width="11.5703125" style="446" customWidth="1"/>
    <col min="7690" max="7690" width="13" style="446" customWidth="1"/>
    <col min="7691" max="7691" width="14.7109375" style="446" customWidth="1"/>
    <col min="7692" max="7936" width="8.85546875" style="446"/>
    <col min="7937" max="7937" width="5" style="446" customWidth="1"/>
    <col min="7938" max="7938" width="10.5703125" style="446" customWidth="1"/>
    <col min="7939" max="7939" width="8.85546875" style="446" customWidth="1"/>
    <col min="7940" max="7940" width="12" style="446" customWidth="1"/>
    <col min="7941" max="7941" width="13.5703125" style="446" customWidth="1"/>
    <col min="7942" max="7942" width="12" style="446" customWidth="1"/>
    <col min="7943" max="7943" width="14.140625" style="446" customWidth="1"/>
    <col min="7944" max="7944" width="11" style="446" customWidth="1"/>
    <col min="7945" max="7945" width="11.5703125" style="446" customWidth="1"/>
    <col min="7946" max="7946" width="13" style="446" customWidth="1"/>
    <col min="7947" max="7947" width="14.7109375" style="446" customWidth="1"/>
    <col min="7948" max="8192" width="8.85546875" style="446"/>
    <col min="8193" max="8193" width="5" style="446" customWidth="1"/>
    <col min="8194" max="8194" width="10.5703125" style="446" customWidth="1"/>
    <col min="8195" max="8195" width="8.85546875" style="446" customWidth="1"/>
    <col min="8196" max="8196" width="12" style="446" customWidth="1"/>
    <col min="8197" max="8197" width="13.5703125" style="446" customWidth="1"/>
    <col min="8198" max="8198" width="12" style="446" customWidth="1"/>
    <col min="8199" max="8199" width="14.140625" style="446" customWidth="1"/>
    <col min="8200" max="8200" width="11" style="446" customWidth="1"/>
    <col min="8201" max="8201" width="11.5703125" style="446" customWidth="1"/>
    <col min="8202" max="8202" width="13" style="446" customWidth="1"/>
    <col min="8203" max="8203" width="14.7109375" style="446" customWidth="1"/>
    <col min="8204" max="8448" width="8.85546875" style="446"/>
    <col min="8449" max="8449" width="5" style="446" customWidth="1"/>
    <col min="8450" max="8450" width="10.5703125" style="446" customWidth="1"/>
    <col min="8451" max="8451" width="8.85546875" style="446" customWidth="1"/>
    <col min="8452" max="8452" width="12" style="446" customWidth="1"/>
    <col min="8453" max="8453" width="13.5703125" style="446" customWidth="1"/>
    <col min="8454" max="8454" width="12" style="446" customWidth="1"/>
    <col min="8455" max="8455" width="14.140625" style="446" customWidth="1"/>
    <col min="8456" max="8456" width="11" style="446" customWidth="1"/>
    <col min="8457" max="8457" width="11.5703125" style="446" customWidth="1"/>
    <col min="8458" max="8458" width="13" style="446" customWidth="1"/>
    <col min="8459" max="8459" width="14.7109375" style="446" customWidth="1"/>
    <col min="8460" max="8704" width="8.85546875" style="446"/>
    <col min="8705" max="8705" width="5" style="446" customWidth="1"/>
    <col min="8706" max="8706" width="10.5703125" style="446" customWidth="1"/>
    <col min="8707" max="8707" width="8.85546875" style="446" customWidth="1"/>
    <col min="8708" max="8708" width="12" style="446" customWidth="1"/>
    <col min="8709" max="8709" width="13.5703125" style="446" customWidth="1"/>
    <col min="8710" max="8710" width="12" style="446" customWidth="1"/>
    <col min="8711" max="8711" width="14.140625" style="446" customWidth="1"/>
    <col min="8712" max="8712" width="11" style="446" customWidth="1"/>
    <col min="8713" max="8713" width="11.5703125" style="446" customWidth="1"/>
    <col min="8714" max="8714" width="13" style="446" customWidth="1"/>
    <col min="8715" max="8715" width="14.7109375" style="446" customWidth="1"/>
    <col min="8716" max="8960" width="8.85546875" style="446"/>
    <col min="8961" max="8961" width="5" style="446" customWidth="1"/>
    <col min="8962" max="8962" width="10.5703125" style="446" customWidth="1"/>
    <col min="8963" max="8963" width="8.85546875" style="446" customWidth="1"/>
    <col min="8964" max="8964" width="12" style="446" customWidth="1"/>
    <col min="8965" max="8965" width="13.5703125" style="446" customWidth="1"/>
    <col min="8966" max="8966" width="12" style="446" customWidth="1"/>
    <col min="8967" max="8967" width="14.140625" style="446" customWidth="1"/>
    <col min="8968" max="8968" width="11" style="446" customWidth="1"/>
    <col min="8969" max="8969" width="11.5703125" style="446" customWidth="1"/>
    <col min="8970" max="8970" width="13" style="446" customWidth="1"/>
    <col min="8971" max="8971" width="14.7109375" style="446" customWidth="1"/>
    <col min="8972" max="9216" width="8.85546875" style="446"/>
    <col min="9217" max="9217" width="5" style="446" customWidth="1"/>
    <col min="9218" max="9218" width="10.5703125" style="446" customWidth="1"/>
    <col min="9219" max="9219" width="8.85546875" style="446" customWidth="1"/>
    <col min="9220" max="9220" width="12" style="446" customWidth="1"/>
    <col min="9221" max="9221" width="13.5703125" style="446" customWidth="1"/>
    <col min="9222" max="9222" width="12" style="446" customWidth="1"/>
    <col min="9223" max="9223" width="14.140625" style="446" customWidth="1"/>
    <col min="9224" max="9224" width="11" style="446" customWidth="1"/>
    <col min="9225" max="9225" width="11.5703125" style="446" customWidth="1"/>
    <col min="9226" max="9226" width="13" style="446" customWidth="1"/>
    <col min="9227" max="9227" width="14.7109375" style="446" customWidth="1"/>
    <col min="9228" max="9472" width="8.85546875" style="446"/>
    <col min="9473" max="9473" width="5" style="446" customWidth="1"/>
    <col min="9474" max="9474" width="10.5703125" style="446" customWidth="1"/>
    <col min="9475" max="9475" width="8.85546875" style="446" customWidth="1"/>
    <col min="9476" max="9476" width="12" style="446" customWidth="1"/>
    <col min="9477" max="9477" width="13.5703125" style="446" customWidth="1"/>
    <col min="9478" max="9478" width="12" style="446" customWidth="1"/>
    <col min="9479" max="9479" width="14.140625" style="446" customWidth="1"/>
    <col min="9480" max="9480" width="11" style="446" customWidth="1"/>
    <col min="9481" max="9481" width="11.5703125" style="446" customWidth="1"/>
    <col min="9482" max="9482" width="13" style="446" customWidth="1"/>
    <col min="9483" max="9483" width="14.7109375" style="446" customWidth="1"/>
    <col min="9484" max="9728" width="8.85546875" style="446"/>
    <col min="9729" max="9729" width="5" style="446" customWidth="1"/>
    <col min="9730" max="9730" width="10.5703125" style="446" customWidth="1"/>
    <col min="9731" max="9731" width="8.85546875" style="446" customWidth="1"/>
    <col min="9732" max="9732" width="12" style="446" customWidth="1"/>
    <col min="9733" max="9733" width="13.5703125" style="446" customWidth="1"/>
    <col min="9734" max="9734" width="12" style="446" customWidth="1"/>
    <col min="9735" max="9735" width="14.140625" style="446" customWidth="1"/>
    <col min="9736" max="9736" width="11" style="446" customWidth="1"/>
    <col min="9737" max="9737" width="11.5703125" style="446" customWidth="1"/>
    <col min="9738" max="9738" width="13" style="446" customWidth="1"/>
    <col min="9739" max="9739" width="14.7109375" style="446" customWidth="1"/>
    <col min="9740" max="9984" width="8.85546875" style="446"/>
    <col min="9985" max="9985" width="5" style="446" customWidth="1"/>
    <col min="9986" max="9986" width="10.5703125" style="446" customWidth="1"/>
    <col min="9987" max="9987" width="8.85546875" style="446" customWidth="1"/>
    <col min="9988" max="9988" width="12" style="446" customWidth="1"/>
    <col min="9989" max="9989" width="13.5703125" style="446" customWidth="1"/>
    <col min="9990" max="9990" width="12" style="446" customWidth="1"/>
    <col min="9991" max="9991" width="14.140625" style="446" customWidth="1"/>
    <col min="9992" max="9992" width="11" style="446" customWidth="1"/>
    <col min="9993" max="9993" width="11.5703125" style="446" customWidth="1"/>
    <col min="9994" max="9994" width="13" style="446" customWidth="1"/>
    <col min="9995" max="9995" width="14.7109375" style="446" customWidth="1"/>
    <col min="9996" max="10240" width="8.85546875" style="446"/>
    <col min="10241" max="10241" width="5" style="446" customWidth="1"/>
    <col min="10242" max="10242" width="10.5703125" style="446" customWidth="1"/>
    <col min="10243" max="10243" width="8.85546875" style="446" customWidth="1"/>
    <col min="10244" max="10244" width="12" style="446" customWidth="1"/>
    <col min="10245" max="10245" width="13.5703125" style="446" customWidth="1"/>
    <col min="10246" max="10246" width="12" style="446" customWidth="1"/>
    <col min="10247" max="10247" width="14.140625" style="446" customWidth="1"/>
    <col min="10248" max="10248" width="11" style="446" customWidth="1"/>
    <col min="10249" max="10249" width="11.5703125" style="446" customWidth="1"/>
    <col min="10250" max="10250" width="13" style="446" customWidth="1"/>
    <col min="10251" max="10251" width="14.7109375" style="446" customWidth="1"/>
    <col min="10252" max="10496" width="8.85546875" style="446"/>
    <col min="10497" max="10497" width="5" style="446" customWidth="1"/>
    <col min="10498" max="10498" width="10.5703125" style="446" customWidth="1"/>
    <col min="10499" max="10499" width="8.85546875" style="446" customWidth="1"/>
    <col min="10500" max="10500" width="12" style="446" customWidth="1"/>
    <col min="10501" max="10501" width="13.5703125" style="446" customWidth="1"/>
    <col min="10502" max="10502" width="12" style="446" customWidth="1"/>
    <col min="10503" max="10503" width="14.140625" style="446" customWidth="1"/>
    <col min="10504" max="10504" width="11" style="446" customWidth="1"/>
    <col min="10505" max="10505" width="11.5703125" style="446" customWidth="1"/>
    <col min="10506" max="10506" width="13" style="446" customWidth="1"/>
    <col min="10507" max="10507" width="14.7109375" style="446" customWidth="1"/>
    <col min="10508" max="10752" width="8.85546875" style="446"/>
    <col min="10753" max="10753" width="5" style="446" customWidth="1"/>
    <col min="10754" max="10754" width="10.5703125" style="446" customWidth="1"/>
    <col min="10755" max="10755" width="8.85546875" style="446" customWidth="1"/>
    <col min="10756" max="10756" width="12" style="446" customWidth="1"/>
    <col min="10757" max="10757" width="13.5703125" style="446" customWidth="1"/>
    <col min="10758" max="10758" width="12" style="446" customWidth="1"/>
    <col min="10759" max="10759" width="14.140625" style="446" customWidth="1"/>
    <col min="10760" max="10760" width="11" style="446" customWidth="1"/>
    <col min="10761" max="10761" width="11.5703125" style="446" customWidth="1"/>
    <col min="10762" max="10762" width="13" style="446" customWidth="1"/>
    <col min="10763" max="10763" width="14.7109375" style="446" customWidth="1"/>
    <col min="10764" max="11008" width="8.85546875" style="446"/>
    <col min="11009" max="11009" width="5" style="446" customWidth="1"/>
    <col min="11010" max="11010" width="10.5703125" style="446" customWidth="1"/>
    <col min="11011" max="11011" width="8.85546875" style="446" customWidth="1"/>
    <col min="11012" max="11012" width="12" style="446" customWidth="1"/>
    <col min="11013" max="11013" width="13.5703125" style="446" customWidth="1"/>
    <col min="11014" max="11014" width="12" style="446" customWidth="1"/>
    <col min="11015" max="11015" width="14.140625" style="446" customWidth="1"/>
    <col min="11016" max="11016" width="11" style="446" customWidth="1"/>
    <col min="11017" max="11017" width="11.5703125" style="446" customWidth="1"/>
    <col min="11018" max="11018" width="13" style="446" customWidth="1"/>
    <col min="11019" max="11019" width="14.7109375" style="446" customWidth="1"/>
    <col min="11020" max="11264" width="8.85546875" style="446"/>
    <col min="11265" max="11265" width="5" style="446" customWidth="1"/>
    <col min="11266" max="11266" width="10.5703125" style="446" customWidth="1"/>
    <col min="11267" max="11267" width="8.85546875" style="446" customWidth="1"/>
    <col min="11268" max="11268" width="12" style="446" customWidth="1"/>
    <col min="11269" max="11269" width="13.5703125" style="446" customWidth="1"/>
    <col min="11270" max="11270" width="12" style="446" customWidth="1"/>
    <col min="11271" max="11271" width="14.140625" style="446" customWidth="1"/>
    <col min="11272" max="11272" width="11" style="446" customWidth="1"/>
    <col min="11273" max="11273" width="11.5703125" style="446" customWidth="1"/>
    <col min="11274" max="11274" width="13" style="446" customWidth="1"/>
    <col min="11275" max="11275" width="14.7109375" style="446" customWidth="1"/>
    <col min="11276" max="11520" width="8.85546875" style="446"/>
    <col min="11521" max="11521" width="5" style="446" customWidth="1"/>
    <col min="11522" max="11522" width="10.5703125" style="446" customWidth="1"/>
    <col min="11523" max="11523" width="8.85546875" style="446" customWidth="1"/>
    <col min="11524" max="11524" width="12" style="446" customWidth="1"/>
    <col min="11525" max="11525" width="13.5703125" style="446" customWidth="1"/>
    <col min="11526" max="11526" width="12" style="446" customWidth="1"/>
    <col min="11527" max="11527" width="14.140625" style="446" customWidth="1"/>
    <col min="11528" max="11528" width="11" style="446" customWidth="1"/>
    <col min="11529" max="11529" width="11.5703125" style="446" customWidth="1"/>
    <col min="11530" max="11530" width="13" style="446" customWidth="1"/>
    <col min="11531" max="11531" width="14.7109375" style="446" customWidth="1"/>
    <col min="11532" max="11776" width="8.85546875" style="446"/>
    <col min="11777" max="11777" width="5" style="446" customWidth="1"/>
    <col min="11778" max="11778" width="10.5703125" style="446" customWidth="1"/>
    <col min="11779" max="11779" width="8.85546875" style="446" customWidth="1"/>
    <col min="11780" max="11780" width="12" style="446" customWidth="1"/>
    <col min="11781" max="11781" width="13.5703125" style="446" customWidth="1"/>
    <col min="11782" max="11782" width="12" style="446" customWidth="1"/>
    <col min="11783" max="11783" width="14.140625" style="446" customWidth="1"/>
    <col min="11784" max="11784" width="11" style="446" customWidth="1"/>
    <col min="11785" max="11785" width="11.5703125" style="446" customWidth="1"/>
    <col min="11786" max="11786" width="13" style="446" customWidth="1"/>
    <col min="11787" max="11787" width="14.7109375" style="446" customWidth="1"/>
    <col min="11788" max="12032" width="8.85546875" style="446"/>
    <col min="12033" max="12033" width="5" style="446" customWidth="1"/>
    <col min="12034" max="12034" width="10.5703125" style="446" customWidth="1"/>
    <col min="12035" max="12035" width="8.85546875" style="446" customWidth="1"/>
    <col min="12036" max="12036" width="12" style="446" customWidth="1"/>
    <col min="12037" max="12037" width="13.5703125" style="446" customWidth="1"/>
    <col min="12038" max="12038" width="12" style="446" customWidth="1"/>
    <col min="12039" max="12039" width="14.140625" style="446" customWidth="1"/>
    <col min="12040" max="12040" width="11" style="446" customWidth="1"/>
    <col min="12041" max="12041" width="11.5703125" style="446" customWidth="1"/>
    <col min="12042" max="12042" width="13" style="446" customWidth="1"/>
    <col min="12043" max="12043" width="14.7109375" style="446" customWidth="1"/>
    <col min="12044" max="12288" width="8.85546875" style="446"/>
    <col min="12289" max="12289" width="5" style="446" customWidth="1"/>
    <col min="12290" max="12290" width="10.5703125" style="446" customWidth="1"/>
    <col min="12291" max="12291" width="8.85546875" style="446" customWidth="1"/>
    <col min="12292" max="12292" width="12" style="446" customWidth="1"/>
    <col min="12293" max="12293" width="13.5703125" style="446" customWidth="1"/>
    <col min="12294" max="12294" width="12" style="446" customWidth="1"/>
    <col min="12295" max="12295" width="14.140625" style="446" customWidth="1"/>
    <col min="12296" max="12296" width="11" style="446" customWidth="1"/>
    <col min="12297" max="12297" width="11.5703125" style="446" customWidth="1"/>
    <col min="12298" max="12298" width="13" style="446" customWidth="1"/>
    <col min="12299" max="12299" width="14.7109375" style="446" customWidth="1"/>
    <col min="12300" max="12544" width="8.85546875" style="446"/>
    <col min="12545" max="12545" width="5" style="446" customWidth="1"/>
    <col min="12546" max="12546" width="10.5703125" style="446" customWidth="1"/>
    <col min="12547" max="12547" width="8.85546875" style="446" customWidth="1"/>
    <col min="12548" max="12548" width="12" style="446" customWidth="1"/>
    <col min="12549" max="12549" width="13.5703125" style="446" customWidth="1"/>
    <col min="12550" max="12550" width="12" style="446" customWidth="1"/>
    <col min="12551" max="12551" width="14.140625" style="446" customWidth="1"/>
    <col min="12552" max="12552" width="11" style="446" customWidth="1"/>
    <col min="12553" max="12553" width="11.5703125" style="446" customWidth="1"/>
    <col min="12554" max="12554" width="13" style="446" customWidth="1"/>
    <col min="12555" max="12555" width="14.7109375" style="446" customWidth="1"/>
    <col min="12556" max="12800" width="8.85546875" style="446"/>
    <col min="12801" max="12801" width="5" style="446" customWidth="1"/>
    <col min="12802" max="12802" width="10.5703125" style="446" customWidth="1"/>
    <col min="12803" max="12803" width="8.85546875" style="446" customWidth="1"/>
    <col min="12804" max="12804" width="12" style="446" customWidth="1"/>
    <col min="12805" max="12805" width="13.5703125" style="446" customWidth="1"/>
    <col min="12806" max="12806" width="12" style="446" customWidth="1"/>
    <col min="12807" max="12807" width="14.140625" style="446" customWidth="1"/>
    <col min="12808" max="12808" width="11" style="446" customWidth="1"/>
    <col min="12809" max="12809" width="11.5703125" style="446" customWidth="1"/>
    <col min="12810" max="12810" width="13" style="446" customWidth="1"/>
    <col min="12811" max="12811" width="14.7109375" style="446" customWidth="1"/>
    <col min="12812" max="13056" width="8.85546875" style="446"/>
    <col min="13057" max="13057" width="5" style="446" customWidth="1"/>
    <col min="13058" max="13058" width="10.5703125" style="446" customWidth="1"/>
    <col min="13059" max="13059" width="8.85546875" style="446" customWidth="1"/>
    <col min="13060" max="13060" width="12" style="446" customWidth="1"/>
    <col min="13061" max="13061" width="13.5703125" style="446" customWidth="1"/>
    <col min="13062" max="13062" width="12" style="446" customWidth="1"/>
    <col min="13063" max="13063" width="14.140625" style="446" customWidth="1"/>
    <col min="13064" max="13064" width="11" style="446" customWidth="1"/>
    <col min="13065" max="13065" width="11.5703125" style="446" customWidth="1"/>
    <col min="13066" max="13066" width="13" style="446" customWidth="1"/>
    <col min="13067" max="13067" width="14.7109375" style="446" customWidth="1"/>
    <col min="13068" max="13312" width="8.85546875" style="446"/>
    <col min="13313" max="13313" width="5" style="446" customWidth="1"/>
    <col min="13314" max="13314" width="10.5703125" style="446" customWidth="1"/>
    <col min="13315" max="13315" width="8.85546875" style="446" customWidth="1"/>
    <col min="13316" max="13316" width="12" style="446" customWidth="1"/>
    <col min="13317" max="13317" width="13.5703125" style="446" customWidth="1"/>
    <col min="13318" max="13318" width="12" style="446" customWidth="1"/>
    <col min="13319" max="13319" width="14.140625" style="446" customWidth="1"/>
    <col min="13320" max="13320" width="11" style="446" customWidth="1"/>
    <col min="13321" max="13321" width="11.5703125" style="446" customWidth="1"/>
    <col min="13322" max="13322" width="13" style="446" customWidth="1"/>
    <col min="13323" max="13323" width="14.7109375" style="446" customWidth="1"/>
    <col min="13324" max="13568" width="8.85546875" style="446"/>
    <col min="13569" max="13569" width="5" style="446" customWidth="1"/>
    <col min="13570" max="13570" width="10.5703125" style="446" customWidth="1"/>
    <col min="13571" max="13571" width="8.85546875" style="446" customWidth="1"/>
    <col min="13572" max="13572" width="12" style="446" customWidth="1"/>
    <col min="13573" max="13573" width="13.5703125" style="446" customWidth="1"/>
    <col min="13574" max="13574" width="12" style="446" customWidth="1"/>
    <col min="13575" max="13575" width="14.140625" style="446" customWidth="1"/>
    <col min="13576" max="13576" width="11" style="446" customWidth="1"/>
    <col min="13577" max="13577" width="11.5703125" style="446" customWidth="1"/>
    <col min="13578" max="13578" width="13" style="446" customWidth="1"/>
    <col min="13579" max="13579" width="14.7109375" style="446" customWidth="1"/>
    <col min="13580" max="13824" width="8.85546875" style="446"/>
    <col min="13825" max="13825" width="5" style="446" customWidth="1"/>
    <col min="13826" max="13826" width="10.5703125" style="446" customWidth="1"/>
    <col min="13827" max="13827" width="8.85546875" style="446" customWidth="1"/>
    <col min="13828" max="13828" width="12" style="446" customWidth="1"/>
    <col min="13829" max="13829" width="13.5703125" style="446" customWidth="1"/>
    <col min="13830" max="13830" width="12" style="446" customWidth="1"/>
    <col min="13831" max="13831" width="14.140625" style="446" customWidth="1"/>
    <col min="13832" max="13832" width="11" style="446" customWidth="1"/>
    <col min="13833" max="13833" width="11.5703125" style="446" customWidth="1"/>
    <col min="13834" max="13834" width="13" style="446" customWidth="1"/>
    <col min="13835" max="13835" width="14.7109375" style="446" customWidth="1"/>
    <col min="13836" max="14080" width="8.85546875" style="446"/>
    <col min="14081" max="14081" width="5" style="446" customWidth="1"/>
    <col min="14082" max="14082" width="10.5703125" style="446" customWidth="1"/>
    <col min="14083" max="14083" width="8.85546875" style="446" customWidth="1"/>
    <col min="14084" max="14084" width="12" style="446" customWidth="1"/>
    <col min="14085" max="14085" width="13.5703125" style="446" customWidth="1"/>
    <col min="14086" max="14086" width="12" style="446" customWidth="1"/>
    <col min="14087" max="14087" width="14.140625" style="446" customWidth="1"/>
    <col min="14088" max="14088" width="11" style="446" customWidth="1"/>
    <col min="14089" max="14089" width="11.5703125" style="446" customWidth="1"/>
    <col min="14090" max="14090" width="13" style="446" customWidth="1"/>
    <col min="14091" max="14091" width="14.7109375" style="446" customWidth="1"/>
    <col min="14092" max="14336" width="8.85546875" style="446"/>
    <col min="14337" max="14337" width="5" style="446" customWidth="1"/>
    <col min="14338" max="14338" width="10.5703125" style="446" customWidth="1"/>
    <col min="14339" max="14339" width="8.85546875" style="446" customWidth="1"/>
    <col min="14340" max="14340" width="12" style="446" customWidth="1"/>
    <col min="14341" max="14341" width="13.5703125" style="446" customWidth="1"/>
    <col min="14342" max="14342" width="12" style="446" customWidth="1"/>
    <col min="14343" max="14343" width="14.140625" style="446" customWidth="1"/>
    <col min="14344" max="14344" width="11" style="446" customWidth="1"/>
    <col min="14345" max="14345" width="11.5703125" style="446" customWidth="1"/>
    <col min="14346" max="14346" width="13" style="446" customWidth="1"/>
    <col min="14347" max="14347" width="14.7109375" style="446" customWidth="1"/>
    <col min="14348" max="14592" width="8.85546875" style="446"/>
    <col min="14593" max="14593" width="5" style="446" customWidth="1"/>
    <col min="14594" max="14594" width="10.5703125" style="446" customWidth="1"/>
    <col min="14595" max="14595" width="8.85546875" style="446" customWidth="1"/>
    <col min="14596" max="14596" width="12" style="446" customWidth="1"/>
    <col min="14597" max="14597" width="13.5703125" style="446" customWidth="1"/>
    <col min="14598" max="14598" width="12" style="446" customWidth="1"/>
    <col min="14599" max="14599" width="14.140625" style="446" customWidth="1"/>
    <col min="14600" max="14600" width="11" style="446" customWidth="1"/>
    <col min="14601" max="14601" width="11.5703125" style="446" customWidth="1"/>
    <col min="14602" max="14602" width="13" style="446" customWidth="1"/>
    <col min="14603" max="14603" width="14.7109375" style="446" customWidth="1"/>
    <col min="14604" max="14848" width="8.85546875" style="446"/>
    <col min="14849" max="14849" width="5" style="446" customWidth="1"/>
    <col min="14850" max="14850" width="10.5703125" style="446" customWidth="1"/>
    <col min="14851" max="14851" width="8.85546875" style="446" customWidth="1"/>
    <col min="14852" max="14852" width="12" style="446" customWidth="1"/>
    <col min="14853" max="14853" width="13.5703125" style="446" customWidth="1"/>
    <col min="14854" max="14854" width="12" style="446" customWidth="1"/>
    <col min="14855" max="14855" width="14.140625" style="446" customWidth="1"/>
    <col min="14856" max="14856" width="11" style="446" customWidth="1"/>
    <col min="14857" max="14857" width="11.5703125" style="446" customWidth="1"/>
    <col min="14858" max="14858" width="13" style="446" customWidth="1"/>
    <col min="14859" max="14859" width="14.7109375" style="446" customWidth="1"/>
    <col min="14860" max="15104" width="8.85546875" style="446"/>
    <col min="15105" max="15105" width="5" style="446" customWidth="1"/>
    <col min="15106" max="15106" width="10.5703125" style="446" customWidth="1"/>
    <col min="15107" max="15107" width="8.85546875" style="446" customWidth="1"/>
    <col min="15108" max="15108" width="12" style="446" customWidth="1"/>
    <col min="15109" max="15109" width="13.5703125" style="446" customWidth="1"/>
    <col min="15110" max="15110" width="12" style="446" customWidth="1"/>
    <col min="15111" max="15111" width="14.140625" style="446" customWidth="1"/>
    <col min="15112" max="15112" width="11" style="446" customWidth="1"/>
    <col min="15113" max="15113" width="11.5703125" style="446" customWidth="1"/>
    <col min="15114" max="15114" width="13" style="446" customWidth="1"/>
    <col min="15115" max="15115" width="14.7109375" style="446" customWidth="1"/>
    <col min="15116" max="15360" width="8.85546875" style="446"/>
    <col min="15361" max="15361" width="5" style="446" customWidth="1"/>
    <col min="15362" max="15362" width="10.5703125" style="446" customWidth="1"/>
    <col min="15363" max="15363" width="8.85546875" style="446" customWidth="1"/>
    <col min="15364" max="15364" width="12" style="446" customWidth="1"/>
    <col min="15365" max="15365" width="13.5703125" style="446" customWidth="1"/>
    <col min="15366" max="15366" width="12" style="446" customWidth="1"/>
    <col min="15367" max="15367" width="14.140625" style="446" customWidth="1"/>
    <col min="15368" max="15368" width="11" style="446" customWidth="1"/>
    <col min="15369" max="15369" width="11.5703125" style="446" customWidth="1"/>
    <col min="15370" max="15370" width="13" style="446" customWidth="1"/>
    <col min="15371" max="15371" width="14.7109375" style="446" customWidth="1"/>
    <col min="15372" max="15616" width="8.85546875" style="446"/>
    <col min="15617" max="15617" width="5" style="446" customWidth="1"/>
    <col min="15618" max="15618" width="10.5703125" style="446" customWidth="1"/>
    <col min="15619" max="15619" width="8.85546875" style="446" customWidth="1"/>
    <col min="15620" max="15620" width="12" style="446" customWidth="1"/>
    <col min="15621" max="15621" width="13.5703125" style="446" customWidth="1"/>
    <col min="15622" max="15622" width="12" style="446" customWidth="1"/>
    <col min="15623" max="15623" width="14.140625" style="446" customWidth="1"/>
    <col min="15624" max="15624" width="11" style="446" customWidth="1"/>
    <col min="15625" max="15625" width="11.5703125" style="446" customWidth="1"/>
    <col min="15626" max="15626" width="13" style="446" customWidth="1"/>
    <col min="15627" max="15627" width="14.7109375" style="446" customWidth="1"/>
    <col min="15628" max="15872" width="8.85546875" style="446"/>
    <col min="15873" max="15873" width="5" style="446" customWidth="1"/>
    <col min="15874" max="15874" width="10.5703125" style="446" customWidth="1"/>
    <col min="15875" max="15875" width="8.85546875" style="446" customWidth="1"/>
    <col min="15876" max="15876" width="12" style="446" customWidth="1"/>
    <col min="15877" max="15877" width="13.5703125" style="446" customWidth="1"/>
    <col min="15878" max="15878" width="12" style="446" customWidth="1"/>
    <col min="15879" max="15879" width="14.140625" style="446" customWidth="1"/>
    <col min="15880" max="15880" width="11" style="446" customWidth="1"/>
    <col min="15881" max="15881" width="11.5703125" style="446" customWidth="1"/>
    <col min="15882" max="15882" width="13" style="446" customWidth="1"/>
    <col min="15883" max="15883" width="14.7109375" style="446" customWidth="1"/>
    <col min="15884" max="16128" width="8.85546875" style="446"/>
    <col min="16129" max="16129" width="5" style="446" customWidth="1"/>
    <col min="16130" max="16130" width="10.5703125" style="446" customWidth="1"/>
    <col min="16131" max="16131" width="8.85546875" style="446" customWidth="1"/>
    <col min="16132" max="16132" width="12" style="446" customWidth="1"/>
    <col min="16133" max="16133" width="13.5703125" style="446" customWidth="1"/>
    <col min="16134" max="16134" width="12" style="446" customWidth="1"/>
    <col min="16135" max="16135" width="14.140625" style="446" customWidth="1"/>
    <col min="16136" max="16136" width="11" style="446" customWidth="1"/>
    <col min="16137" max="16137" width="11.5703125" style="446" customWidth="1"/>
    <col min="16138" max="16138" width="13" style="446" customWidth="1"/>
    <col min="16139" max="16139" width="14.7109375" style="446" customWidth="1"/>
    <col min="16140" max="16384" width="8.85546875" style="446"/>
  </cols>
  <sheetData>
    <row r="1" spans="1:13" s="427" customFormat="1" x14ac:dyDescent="0.2">
      <c r="A1" s="425"/>
      <c r="B1" s="425"/>
      <c r="C1" s="425"/>
      <c r="D1" s="425"/>
      <c r="E1" s="426"/>
      <c r="F1" s="426"/>
      <c r="G1" s="425"/>
      <c r="H1" s="1912"/>
      <c r="I1" s="1912"/>
      <c r="K1" s="1912"/>
      <c r="L1" s="1912"/>
    </row>
    <row r="2" spans="1:13" s="427" customFormat="1" hidden="1" x14ac:dyDescent="0.2">
      <c r="A2" s="425"/>
      <c r="B2" s="425"/>
      <c r="C2" s="425"/>
      <c r="D2" s="425"/>
      <c r="E2" s="426"/>
      <c r="F2" s="426"/>
      <c r="G2" s="425"/>
      <c r="H2" s="428"/>
      <c r="I2" s="428"/>
      <c r="J2" s="428"/>
      <c r="K2" s="1912"/>
      <c r="L2" s="1912"/>
      <c r="M2" s="1912"/>
    </row>
    <row r="3" spans="1:13" s="427" customFormat="1" hidden="1" x14ac:dyDescent="0.2">
      <c r="A3" s="425"/>
      <c r="B3" s="425"/>
      <c r="C3" s="425"/>
      <c r="D3" s="425"/>
      <c r="E3" s="426"/>
      <c r="F3" s="426"/>
      <c r="G3" s="425"/>
      <c r="H3" s="1467"/>
      <c r="I3" s="1467"/>
      <c r="J3" s="1467"/>
      <c r="K3" s="1467"/>
      <c r="L3" s="1467"/>
      <c r="M3" s="1467"/>
    </row>
    <row r="4" spans="1:13" s="427" customFormat="1" x14ac:dyDescent="0.2">
      <c r="A4" s="425"/>
      <c r="B4" s="425"/>
      <c r="C4" s="425"/>
      <c r="D4" s="425"/>
      <c r="E4" s="426"/>
      <c r="F4" s="426"/>
      <c r="G4" s="425"/>
      <c r="H4" s="1912"/>
      <c r="I4" s="1912"/>
      <c r="K4" s="1912"/>
      <c r="L4" s="1912"/>
    </row>
    <row r="5" spans="1:13" s="427" customFormat="1" x14ac:dyDescent="0.2">
      <c r="A5" s="425"/>
      <c r="B5" s="425"/>
      <c r="C5" s="425"/>
      <c r="D5" s="425"/>
      <c r="E5" s="425"/>
      <c r="F5" s="425"/>
      <c r="G5" s="425"/>
      <c r="H5" s="428"/>
      <c r="I5" s="428"/>
      <c r="K5" s="428"/>
      <c r="L5" s="428"/>
    </row>
    <row r="6" spans="1:13" s="427" customFormat="1" ht="35.25" customHeight="1" x14ac:dyDescent="0.2">
      <c r="A6" s="425"/>
      <c r="B6" s="425"/>
      <c r="C6" s="425"/>
      <c r="D6" s="425"/>
      <c r="E6" s="425"/>
      <c r="F6" s="425"/>
      <c r="G6" s="425"/>
      <c r="H6" s="425"/>
      <c r="I6" s="1488"/>
      <c r="J6" s="430"/>
    </row>
    <row r="7" spans="1:13" s="1518" customFormat="1" x14ac:dyDescent="0.2">
      <c r="A7" s="2293" t="s">
        <v>671</v>
      </c>
      <c r="B7" s="2293"/>
      <c r="C7" s="2293"/>
      <c r="D7" s="2293"/>
      <c r="E7" s="2293"/>
      <c r="F7" s="2293"/>
      <c r="G7" s="2293"/>
      <c r="H7" s="2293"/>
      <c r="I7" s="2293"/>
      <c r="J7" s="2293"/>
      <c r="K7" s="2293"/>
    </row>
    <row r="8" spans="1:13" s="431" customFormat="1" ht="56.25" customHeight="1" x14ac:dyDescent="0.2">
      <c r="A8" s="1916" t="str">
        <f>' ССР (нов)'!A6:G6</f>
        <v xml:space="preserve">Реконструкция теплового ввода </v>
      </c>
      <c r="B8" s="1917"/>
      <c r="C8" s="1917"/>
      <c r="D8" s="1917"/>
      <c r="E8" s="1917"/>
      <c r="F8" s="1917"/>
      <c r="G8" s="1917"/>
      <c r="H8" s="1917"/>
      <c r="I8" s="1917"/>
      <c r="J8" s="1917"/>
      <c r="K8" s="1917"/>
    </row>
    <row r="9" spans="1:13" s="431" customFormat="1" ht="25.5" customHeight="1" x14ac:dyDescent="0.2">
      <c r="A9" s="1916" t="str">
        <f>' ССР (нов)'!A7:G7</f>
        <v>г. Москва , ул. Мневники д.4</v>
      </c>
      <c r="B9" s="1916"/>
      <c r="C9" s="1916"/>
      <c r="D9" s="1916"/>
      <c r="E9" s="1916"/>
      <c r="F9" s="1916"/>
      <c r="G9" s="1916"/>
      <c r="H9" s="1916"/>
      <c r="I9" s="1916"/>
      <c r="J9" s="1916"/>
      <c r="K9" s="1916"/>
    </row>
    <row r="10" spans="1:13" s="403" customFormat="1" ht="27" customHeight="1" x14ac:dyDescent="0.2">
      <c r="A10" s="1916" t="s">
        <v>663</v>
      </c>
      <c r="B10" s="1916"/>
      <c r="C10" s="1916"/>
      <c r="D10" s="1916"/>
      <c r="E10" s="1916"/>
      <c r="F10" s="1916"/>
      <c r="G10" s="1916"/>
      <c r="H10" s="1916"/>
      <c r="I10" s="1916"/>
      <c r="J10" s="1916"/>
      <c r="K10" s="1916"/>
    </row>
    <row r="11" spans="1:13" s="433" customFormat="1" ht="12.75" customHeight="1" x14ac:dyDescent="0.2">
      <c r="A11" s="404"/>
      <c r="B11" s="432"/>
      <c r="C11" s="432"/>
      <c r="D11" s="432"/>
      <c r="E11" s="432"/>
      <c r="F11" s="432"/>
      <c r="G11" s="432"/>
      <c r="H11" s="432"/>
      <c r="I11" s="432"/>
      <c r="J11" s="404"/>
    </row>
    <row r="12" spans="1:13" s="405" customFormat="1" ht="54" customHeight="1" x14ac:dyDescent="0.2">
      <c r="A12" s="1918" t="s">
        <v>191</v>
      </c>
      <c r="B12" s="1918"/>
      <c r="C12" s="1918"/>
      <c r="D12" s="1918"/>
      <c r="E12" s="1918"/>
      <c r="F12" s="1918"/>
      <c r="G12" s="1918"/>
      <c r="H12" s="1918"/>
      <c r="I12" s="1918"/>
      <c r="J12" s="1918"/>
      <c r="K12" s="1918"/>
    </row>
    <row r="13" spans="1:13" s="405" customFormat="1" x14ac:dyDescent="0.2">
      <c r="A13" s="406"/>
      <c r="B13" s="406"/>
      <c r="C13" s="406"/>
      <c r="D13" s="406"/>
      <c r="E13" s="406"/>
      <c r="F13" s="406"/>
      <c r="G13" s="406"/>
      <c r="H13" s="406"/>
      <c r="I13" s="406"/>
      <c r="J13" s="406"/>
    </row>
    <row r="14" spans="1:13" s="427" customFormat="1" ht="33" customHeight="1" x14ac:dyDescent="0.2">
      <c r="A14" s="434"/>
      <c r="B14" s="435" t="s">
        <v>192</v>
      </c>
      <c r="C14" s="434"/>
      <c r="D14" s="434"/>
      <c r="E14" s="434"/>
      <c r="F14" s="434"/>
      <c r="G14" s="434"/>
      <c r="H14" s="434"/>
      <c r="I14" s="428"/>
      <c r="J14" s="428"/>
    </row>
    <row r="15" spans="1:13" s="428" customFormat="1" ht="8.25" customHeight="1" thickBot="1" x14ac:dyDescent="0.25">
      <c r="J15" s="436"/>
    </row>
    <row r="16" spans="1:13" s="428" customFormat="1" ht="76.5" x14ac:dyDescent="0.2">
      <c r="A16" s="408" t="s">
        <v>31</v>
      </c>
      <c r="B16" s="1922" t="s">
        <v>193</v>
      </c>
      <c r="C16" s="1922"/>
      <c r="D16" s="1922"/>
      <c r="E16" s="1469" t="s">
        <v>194</v>
      </c>
      <c r="F16" s="1469" t="s">
        <v>195</v>
      </c>
      <c r="G16" s="1469" t="s">
        <v>196</v>
      </c>
      <c r="H16" s="1469" t="s">
        <v>197</v>
      </c>
      <c r="I16" s="1922" t="s">
        <v>198</v>
      </c>
      <c r="J16" s="1922"/>
      <c r="K16" s="1923"/>
    </row>
    <row r="17" spans="1:12" s="428" customFormat="1" ht="16.5" thickBot="1" x14ac:dyDescent="0.25">
      <c r="A17" s="448">
        <v>1</v>
      </c>
      <c r="B17" s="1924">
        <v>2</v>
      </c>
      <c r="C17" s="1924"/>
      <c r="D17" s="1924"/>
      <c r="E17" s="1470">
        <v>3</v>
      </c>
      <c r="F17" s="1470">
        <v>4</v>
      </c>
      <c r="G17" s="1470">
        <v>5</v>
      </c>
      <c r="H17" s="1470">
        <v>6</v>
      </c>
      <c r="I17" s="1924">
        <v>7</v>
      </c>
      <c r="J17" s="1924"/>
      <c r="K17" s="1925"/>
    </row>
    <row r="18" spans="1:12" s="428" customFormat="1" ht="27" customHeight="1" thickTop="1" x14ac:dyDescent="0.2">
      <c r="A18" s="412">
        <v>1</v>
      </c>
      <c r="B18" s="1915" t="s">
        <v>212</v>
      </c>
      <c r="C18" s="1915"/>
      <c r="D18" s="1915"/>
      <c r="E18" s="413">
        <v>1</v>
      </c>
      <c r="F18" s="437"/>
      <c r="G18" s="413">
        <v>1</v>
      </c>
      <c r="H18" s="414">
        <v>1</v>
      </c>
      <c r="I18" s="1928">
        <f>E18/$F$19*G18*H18</f>
        <v>1</v>
      </c>
      <c r="J18" s="1928"/>
      <c r="K18" s="1929"/>
      <c r="L18" s="434"/>
    </row>
    <row r="19" spans="1:12" s="420" customFormat="1" ht="22.5" customHeight="1" thickBot="1" x14ac:dyDescent="0.25">
      <c r="A19" s="415"/>
      <c r="B19" s="1921" t="s">
        <v>85</v>
      </c>
      <c r="C19" s="1921"/>
      <c r="D19" s="1921"/>
      <c r="E19" s="416"/>
      <c r="F19" s="417">
        <v>1</v>
      </c>
      <c r="G19" s="418">
        <f>SUM(G18:G18)</f>
        <v>1</v>
      </c>
      <c r="H19" s="419"/>
      <c r="I19" s="1930" t="str">
        <f>CONCATENATE(I18,"/",G19)</f>
        <v>1/1</v>
      </c>
      <c r="J19" s="1930"/>
      <c r="K19" s="424">
        <f>ROUND((I18)/G19,3)</f>
        <v>1</v>
      </c>
    </row>
    <row r="20" spans="1:12" s="428" customFormat="1" ht="8.25" customHeight="1" x14ac:dyDescent="0.2"/>
    <row r="21" spans="1:12" s="438" customFormat="1" ht="23.25" customHeight="1" x14ac:dyDescent="0.2">
      <c r="B21" s="438" t="s">
        <v>201</v>
      </c>
    </row>
    <row r="22" spans="1:12" s="428" customFormat="1" ht="6" customHeight="1" thickBot="1" x14ac:dyDescent="0.25">
      <c r="B22" s="1467"/>
    </row>
    <row r="23" spans="1:12" s="428" customFormat="1" ht="76.5" x14ac:dyDescent="0.2">
      <c r="A23" s="408" t="s">
        <v>31</v>
      </c>
      <c r="B23" s="1472" t="s">
        <v>202</v>
      </c>
      <c r="C23" s="410" t="s">
        <v>203</v>
      </c>
      <c r="D23" s="410" t="s">
        <v>204</v>
      </c>
      <c r="E23" s="410" t="s">
        <v>205</v>
      </c>
      <c r="F23" s="410" t="s">
        <v>206</v>
      </c>
      <c r="G23" s="410" t="s">
        <v>207</v>
      </c>
      <c r="H23" s="410" t="s">
        <v>208</v>
      </c>
      <c r="I23" s="410" t="s">
        <v>209</v>
      </c>
      <c r="J23" s="410" t="s">
        <v>210</v>
      </c>
      <c r="K23" s="411" t="s">
        <v>211</v>
      </c>
    </row>
    <row r="24" spans="1:12" s="420" customFormat="1" ht="16.5" thickBot="1" x14ac:dyDescent="0.25">
      <c r="A24" s="448">
        <v>1</v>
      </c>
      <c r="B24" s="1468">
        <v>2</v>
      </c>
      <c r="C24" s="1470">
        <v>3</v>
      </c>
      <c r="D24" s="1470">
        <v>4</v>
      </c>
      <c r="E24" s="1470">
        <v>5</v>
      </c>
      <c r="F24" s="1470">
        <v>6</v>
      </c>
      <c r="G24" s="1470">
        <v>7</v>
      </c>
      <c r="H24" s="1470">
        <v>8</v>
      </c>
      <c r="I24" s="1470">
        <v>9</v>
      </c>
      <c r="J24" s="1470">
        <v>10</v>
      </c>
      <c r="K24" s="1471">
        <v>11</v>
      </c>
    </row>
    <row r="25" spans="1:12" s="428" customFormat="1" ht="24" customHeight="1" thickTop="1" thickBot="1" x14ac:dyDescent="0.25">
      <c r="A25" s="439">
        <v>1</v>
      </c>
      <c r="B25" s="440">
        <v>9590</v>
      </c>
      <c r="C25" s="441">
        <v>22</v>
      </c>
      <c r="D25" s="442">
        <f>ROUND(B25/C25,2)</f>
        <v>435.91</v>
      </c>
      <c r="E25" s="443">
        <v>0.4</v>
      </c>
      <c r="F25" s="443">
        <v>0.1</v>
      </c>
      <c r="G25" s="442">
        <f>ROUND(D25*(1+F25)/E25,2)</f>
        <v>1198.75</v>
      </c>
      <c r="H25" s="441">
        <f>F19</f>
        <v>1</v>
      </c>
      <c r="I25" s="441">
        <f>G19</f>
        <v>1</v>
      </c>
      <c r="J25" s="444">
        <f>K19</f>
        <v>1</v>
      </c>
      <c r="K25" s="445">
        <f>ROUND(G25*H25*I25*J25,2)</f>
        <v>1198.75</v>
      </c>
    </row>
    <row r="26" spans="1:12" s="428" customFormat="1" ht="20.25" customHeight="1" x14ac:dyDescent="0.2"/>
    <row r="27" spans="1:12" ht="48.75" customHeight="1" x14ac:dyDescent="0.2">
      <c r="B27" s="2292" t="s">
        <v>665</v>
      </c>
      <c r="C27" s="2292"/>
      <c r="D27" s="2292"/>
      <c r="E27" s="2292"/>
      <c r="F27" s="2292"/>
      <c r="G27" s="2292"/>
      <c r="H27" s="2292"/>
      <c r="I27" s="2292"/>
      <c r="J27" s="2292"/>
      <c r="K27" s="2292"/>
    </row>
    <row r="28" spans="1:12" ht="3.75" customHeight="1" thickBot="1" x14ac:dyDescent="0.25"/>
    <row r="29" spans="1:12" s="428" customFormat="1" ht="60.75" customHeight="1" x14ac:dyDescent="0.2">
      <c r="A29" s="408" t="s">
        <v>31</v>
      </c>
      <c r="B29" s="1932" t="s">
        <v>211</v>
      </c>
      <c r="C29" s="1933"/>
      <c r="D29" s="410" t="s">
        <v>664</v>
      </c>
      <c r="E29" s="1520" t="s">
        <v>670</v>
      </c>
      <c r="F29" s="453"/>
      <c r="G29" s="453"/>
      <c r="H29" s="453"/>
      <c r="I29" s="453"/>
      <c r="J29" s="453"/>
      <c r="K29" s="453"/>
    </row>
    <row r="30" spans="1:12" s="420" customFormat="1" ht="16.5" thickBot="1" x14ac:dyDescent="0.25">
      <c r="A30" s="448">
        <v>1</v>
      </c>
      <c r="B30" s="1913">
        <v>2</v>
      </c>
      <c r="C30" s="1914"/>
      <c r="D30" s="1470">
        <v>4</v>
      </c>
      <c r="E30" s="1471">
        <v>5</v>
      </c>
      <c r="F30" s="453"/>
      <c r="G30" s="453"/>
      <c r="H30" s="453"/>
      <c r="I30" s="453"/>
      <c r="J30" s="453"/>
      <c r="K30" s="453"/>
    </row>
    <row r="31" spans="1:12" s="428" customFormat="1" ht="24" customHeight="1" thickTop="1" thickBot="1" x14ac:dyDescent="0.25">
      <c r="A31" s="439">
        <v>1</v>
      </c>
      <c r="B31" s="1919">
        <f>K25</f>
        <v>1198.75</v>
      </c>
      <c r="C31" s="1920"/>
      <c r="D31" s="452">
        <v>1</v>
      </c>
      <c r="E31" s="459">
        <f>ROUND(B31*D31,2)</f>
        <v>1198.75</v>
      </c>
      <c r="F31" s="454"/>
      <c r="G31" s="455"/>
      <c r="H31" s="456"/>
      <c r="I31" s="456"/>
      <c r="J31" s="457"/>
      <c r="K31" s="458"/>
    </row>
    <row r="33" spans="2:2" x14ac:dyDescent="0.2">
      <c r="B33" s="1519" t="s">
        <v>672</v>
      </c>
    </row>
  </sheetData>
  <mergeCells count="22">
    <mergeCell ref="A7:K7"/>
    <mergeCell ref="H1:I1"/>
    <mergeCell ref="K1:L1"/>
    <mergeCell ref="K2:M2"/>
    <mergeCell ref="H4:I4"/>
    <mergeCell ref="K4:L4"/>
    <mergeCell ref="B18:D18"/>
    <mergeCell ref="I18:K18"/>
    <mergeCell ref="B17:D17"/>
    <mergeCell ref="I17:K17"/>
    <mergeCell ref="A8:K8"/>
    <mergeCell ref="A9:K9"/>
    <mergeCell ref="A10:K10"/>
    <mergeCell ref="A12:K12"/>
    <mergeCell ref="B16:D16"/>
    <mergeCell ref="I16:K16"/>
    <mergeCell ref="B19:D19"/>
    <mergeCell ref="I19:J19"/>
    <mergeCell ref="B29:C29"/>
    <mergeCell ref="B30:C30"/>
    <mergeCell ref="B31:C31"/>
    <mergeCell ref="B27:K2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tToHeight="21" orientation="portrait" r:id="rId1"/>
  <headerFooter alignWithMargins="0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2"/>
  <sheetViews>
    <sheetView view="pageBreakPreview" topLeftCell="A70" zoomScale="80" zoomScaleNormal="100" zoomScaleSheetLayoutView="80" workbookViewId="0">
      <selection activeCell="G1" sqref="G1:G5"/>
    </sheetView>
  </sheetViews>
  <sheetFormatPr defaultColWidth="9.140625" defaultRowHeight="15.75" x14ac:dyDescent="0.2"/>
  <cols>
    <col min="1" max="1" width="3.85546875" style="69" customWidth="1"/>
    <col min="2" max="2" width="34.28515625" style="69" customWidth="1"/>
    <col min="3" max="3" width="12" style="73" customWidth="1"/>
    <col min="4" max="4" width="12" style="71" bestFit="1" customWidth="1"/>
    <col min="5" max="5" width="32.7109375" style="69" customWidth="1"/>
    <col min="6" max="6" width="7.28515625" style="72" customWidth="1"/>
    <col min="7" max="7" width="29.28515625" style="1492" customWidth="1"/>
    <col min="8" max="8" width="16" style="77" customWidth="1"/>
    <col min="9" max="9" width="12.28515625" style="69" customWidth="1"/>
    <col min="10" max="16384" width="9.140625" style="69"/>
  </cols>
  <sheetData>
    <row r="1" spans="1:8" x14ac:dyDescent="0.2">
      <c r="C1" s="70"/>
      <c r="G1" s="1493"/>
      <c r="H1" s="141"/>
    </row>
    <row r="2" spans="1:8" x14ac:dyDescent="0.2">
      <c r="C2" s="70"/>
      <c r="G2" s="1493"/>
      <c r="H2" s="143"/>
    </row>
    <row r="3" spans="1:8" x14ac:dyDescent="0.2">
      <c r="C3" s="70"/>
      <c r="G3" s="1504"/>
      <c r="H3" s="143"/>
    </row>
    <row r="4" spans="1:8" s="147" customFormat="1" ht="6.75" customHeight="1" x14ac:dyDescent="0.2">
      <c r="A4" s="144"/>
      <c r="B4" s="144"/>
      <c r="C4" s="145"/>
      <c r="D4" s="144"/>
      <c r="E4" s="144"/>
      <c r="F4" s="144"/>
      <c r="G4" s="1505"/>
      <c r="H4" s="146"/>
    </row>
    <row r="5" spans="1:8" ht="17.25" customHeight="1" x14ac:dyDescent="0.2">
      <c r="D5" s="74"/>
      <c r="F5" s="75"/>
    </row>
    <row r="6" spans="1:8" ht="16.5" customHeight="1" x14ac:dyDescent="0.2">
      <c r="A6" s="1896" t="s">
        <v>58</v>
      </c>
      <c r="B6" s="1896"/>
      <c r="C6" s="1896"/>
      <c r="D6" s="1896"/>
      <c r="E6" s="1896"/>
      <c r="F6" s="1896"/>
      <c r="G6" s="1896"/>
      <c r="H6" s="1896"/>
    </row>
    <row r="7" spans="1:8" ht="16.5" customHeight="1" x14ac:dyDescent="0.2">
      <c r="A7" s="78"/>
      <c r="B7" s="78"/>
      <c r="C7" s="78"/>
      <c r="D7" s="78"/>
      <c r="E7" s="78"/>
      <c r="F7" s="78"/>
      <c r="G7" s="1494"/>
      <c r="H7" s="79"/>
    </row>
    <row r="8" spans="1:8" ht="26.25" customHeight="1" x14ac:dyDescent="0.2">
      <c r="A8" s="1897" t="str">
        <f>' ССР (нов)'!A6:G6</f>
        <v xml:space="preserve">Реконструкция теплового ввода </v>
      </c>
      <c r="B8" s="1897"/>
      <c r="C8" s="1897"/>
      <c r="D8" s="1897"/>
      <c r="E8" s="1897"/>
      <c r="F8" s="1897"/>
      <c r="G8" s="1897"/>
      <c r="H8" s="1897"/>
    </row>
    <row r="9" spans="1:8" ht="29.25" customHeight="1" x14ac:dyDescent="0.2">
      <c r="A9" s="1897" t="str">
        <f>' ССР (нов)'!A7:G7</f>
        <v>г. Москва , ул. Мневники д.4</v>
      </c>
      <c r="B9" s="1897"/>
      <c r="C9" s="1897"/>
      <c r="D9" s="1897"/>
      <c r="E9" s="1897"/>
      <c r="F9" s="1897"/>
      <c r="G9" s="1897"/>
      <c r="H9" s="1897"/>
    </row>
    <row r="10" spans="1:8" ht="19.5" customHeight="1" x14ac:dyDescent="0.2">
      <c r="A10" s="1897" t="s">
        <v>72</v>
      </c>
      <c r="B10" s="1897"/>
      <c r="C10" s="1897"/>
      <c r="D10" s="1897"/>
      <c r="E10" s="1897"/>
      <c r="F10" s="1897"/>
      <c r="G10" s="1897"/>
      <c r="H10" s="1897"/>
    </row>
    <row r="11" spans="1:8" x14ac:dyDescent="0.2">
      <c r="A11" s="1898" t="s">
        <v>101</v>
      </c>
      <c r="B11" s="1898"/>
      <c r="C11" s="1898"/>
      <c r="D11" s="1898"/>
      <c r="E11" s="1898"/>
      <c r="F11" s="1898"/>
      <c r="G11" s="1898"/>
      <c r="H11" s="1898"/>
    </row>
    <row r="12" spans="1:8" ht="18" customHeight="1" x14ac:dyDescent="0.2">
      <c r="A12" s="1898" t="s">
        <v>102</v>
      </c>
      <c r="B12" s="1898"/>
      <c r="C12" s="1898"/>
      <c r="D12" s="1898"/>
      <c r="E12" s="1898"/>
      <c r="F12" s="1898"/>
      <c r="G12" s="1898"/>
      <c r="H12" s="1898"/>
    </row>
    <row r="13" spans="1:8" ht="9.75" customHeight="1" thickBot="1" x14ac:dyDescent="0.25">
      <c r="B13" s="80"/>
      <c r="D13" s="69"/>
    </row>
    <row r="14" spans="1:8" ht="36.75" thickBot="1" x14ac:dyDescent="0.25">
      <c r="A14" s="162" t="s">
        <v>19</v>
      </c>
      <c r="B14" s="1899" t="s">
        <v>3</v>
      </c>
      <c r="C14" s="1900"/>
      <c r="D14" s="163" t="s">
        <v>9</v>
      </c>
      <c r="E14" s="164" t="s">
        <v>4</v>
      </c>
      <c r="F14" s="165" t="s">
        <v>5</v>
      </c>
      <c r="G14" s="1489" t="s">
        <v>0</v>
      </c>
      <c r="H14" s="163" t="s">
        <v>6</v>
      </c>
    </row>
    <row r="15" spans="1:8" ht="18" customHeight="1" thickBot="1" x14ac:dyDescent="0.25">
      <c r="A15" s="81"/>
      <c r="B15" s="1893" t="s">
        <v>76</v>
      </c>
      <c r="C15" s="1894"/>
      <c r="D15" s="1894"/>
      <c r="E15" s="1894"/>
      <c r="F15" s="1894"/>
      <c r="G15" s="1894"/>
      <c r="H15" s="1895"/>
    </row>
    <row r="16" spans="1:8" ht="16.5" customHeight="1" thickBot="1" x14ac:dyDescent="0.25">
      <c r="A16" s="177"/>
      <c r="B16" s="175" t="s">
        <v>759</v>
      </c>
      <c r="C16" s="174"/>
      <c r="D16" s="174"/>
      <c r="E16" s="174"/>
      <c r="F16" s="174"/>
      <c r="G16" s="1506"/>
      <c r="H16" s="1309"/>
    </row>
    <row r="17" spans="1:8" ht="39" customHeight="1" x14ac:dyDescent="0.2">
      <c r="A17" s="1869">
        <v>1</v>
      </c>
      <c r="B17" s="96" t="s">
        <v>691</v>
      </c>
      <c r="C17" s="94">
        <v>17.8</v>
      </c>
      <c r="D17" s="95">
        <f>ROUND(C19+C17*C20,2)</f>
        <v>25200</v>
      </c>
      <c r="E17" s="169" t="s">
        <v>164</v>
      </c>
      <c r="F17" s="97">
        <v>1.2</v>
      </c>
      <c r="G17" s="1498"/>
      <c r="H17" s="98"/>
    </row>
    <row r="18" spans="1:8" ht="31.5" x14ac:dyDescent="0.2">
      <c r="A18" s="1870"/>
      <c r="B18" s="100" t="s">
        <v>765</v>
      </c>
      <c r="C18" s="148"/>
      <c r="D18" s="99"/>
      <c r="E18" s="100" t="s">
        <v>165</v>
      </c>
      <c r="F18" s="91">
        <v>1.1000000000000001</v>
      </c>
      <c r="G18" s="1507" t="str">
        <f>CONCATENATE("",D17,"*",F17,"*",F18,"")</f>
        <v>25200*1,2*1,1</v>
      </c>
      <c r="H18" s="101">
        <f>D17*F17*F18</f>
        <v>33264</v>
      </c>
    </row>
    <row r="19" spans="1:8" ht="39.75" customHeight="1" x14ac:dyDescent="0.2">
      <c r="A19" s="1870"/>
      <c r="B19" s="90" t="s">
        <v>762</v>
      </c>
      <c r="C19" s="102">
        <v>25200</v>
      </c>
      <c r="D19" s="99"/>
      <c r="E19" s="1653" t="s">
        <v>692</v>
      </c>
      <c r="F19" s="1453">
        <v>0.35</v>
      </c>
      <c r="G19" s="1507"/>
      <c r="H19" s="101"/>
    </row>
    <row r="20" spans="1:8" ht="22.5" customHeight="1" thickBot="1" x14ac:dyDescent="0.25">
      <c r="A20" s="1870"/>
      <c r="B20" s="153" t="s">
        <v>12</v>
      </c>
      <c r="C20" s="102">
        <v>0</v>
      </c>
      <c r="D20" s="99"/>
      <c r="E20" s="1653" t="s">
        <v>693</v>
      </c>
      <c r="F20" s="1453">
        <v>1.75</v>
      </c>
      <c r="G20" s="1507"/>
      <c r="H20" s="1310"/>
    </row>
    <row r="21" spans="1:8" ht="16.5" hidden="1" customHeight="1" x14ac:dyDescent="0.2">
      <c r="A21" s="1870"/>
      <c r="B21" s="153"/>
      <c r="C21" s="102"/>
      <c r="D21" s="99"/>
      <c r="E21" s="1452" t="s">
        <v>148</v>
      </c>
      <c r="F21" s="1453">
        <v>2</v>
      </c>
      <c r="G21" s="1507"/>
      <c r="H21" s="1310"/>
    </row>
    <row r="22" spans="1:8" ht="43.5" hidden="1" customHeight="1" x14ac:dyDescent="0.2">
      <c r="A22" s="1870"/>
      <c r="B22" s="153" t="s">
        <v>563</v>
      </c>
      <c r="C22" s="188">
        <v>53</v>
      </c>
      <c r="D22" s="99"/>
      <c r="E22" s="1452" t="s">
        <v>649</v>
      </c>
      <c r="F22" s="1453">
        <v>0.8</v>
      </c>
      <c r="H22" s="1310"/>
    </row>
    <row r="23" spans="1:8" ht="42.75" hidden="1" customHeight="1" thickBot="1" x14ac:dyDescent="0.25">
      <c r="A23" s="1871"/>
      <c r="B23" s="176" t="s">
        <v>564</v>
      </c>
      <c r="C23" s="1308">
        <v>29.2</v>
      </c>
      <c r="D23" s="89"/>
      <c r="E23" s="1454" t="s">
        <v>650</v>
      </c>
      <c r="F23" s="1455">
        <v>0.6</v>
      </c>
      <c r="G23" s="1508" t="str">
        <f>CONCATENATE("(",D17,"*",F20,"+",D17,"*",F19,")*    ",F17,"*",F18,"*",C23,"/",C17)</f>
        <v>(25200*1,75+25200*0,35)*    1,2*1,1*29,2/17,8</v>
      </c>
      <c r="H23" s="1311"/>
    </row>
    <row r="24" spans="1:8" s="1553" customFormat="1" hidden="1" x14ac:dyDescent="0.2">
      <c r="A24" s="1548"/>
      <c r="B24" s="1549" t="s">
        <v>139</v>
      </c>
      <c r="C24" s="1550"/>
      <c r="D24" s="1550"/>
      <c r="E24" s="1550"/>
      <c r="F24" s="1550"/>
      <c r="G24" s="1551"/>
      <c r="H24" s="1552"/>
    </row>
    <row r="25" spans="1:8" s="1553" customFormat="1" hidden="1" x14ac:dyDescent="0.2">
      <c r="A25" s="1872">
        <v>2</v>
      </c>
      <c r="B25" s="1554" t="s">
        <v>137</v>
      </c>
      <c r="C25" s="1555"/>
      <c r="D25" s="1556"/>
      <c r="E25" s="1557"/>
      <c r="F25" s="1558"/>
      <c r="G25" s="1559"/>
      <c r="H25" s="1560"/>
    </row>
    <row r="26" spans="1:8" s="1553" customFormat="1" ht="31.5" hidden="1" x14ac:dyDescent="0.2">
      <c r="A26" s="1872"/>
      <c r="B26" s="1561" t="s">
        <v>167</v>
      </c>
      <c r="C26" s="1562">
        <v>0</v>
      </c>
      <c r="D26" s="1563">
        <f>C28+C29*C26</f>
        <v>0</v>
      </c>
      <c r="E26" s="1564" t="s">
        <v>134</v>
      </c>
      <c r="F26" s="1565">
        <v>1</v>
      </c>
      <c r="G26" s="1566" t="str">
        <f>CONCATENATE(D26,"*",F26,"*",F28)</f>
        <v>0*1*1</v>
      </c>
      <c r="H26" s="1567">
        <f>ROUND(D26*F26*F28,2)</f>
        <v>0</v>
      </c>
    </row>
    <row r="27" spans="1:8" s="1553" customFormat="1" hidden="1" x14ac:dyDescent="0.2">
      <c r="A27" s="1872"/>
      <c r="B27" s="1568" t="s">
        <v>138</v>
      </c>
      <c r="C27" s="1569"/>
      <c r="D27" s="1570"/>
      <c r="E27" s="1571"/>
      <c r="F27" s="1572"/>
      <c r="G27" s="1573"/>
      <c r="H27" s="1574"/>
    </row>
    <row r="28" spans="1:8" s="1553" customFormat="1" hidden="1" x14ac:dyDescent="0.2">
      <c r="A28" s="1872"/>
      <c r="B28" s="1575" t="s">
        <v>168</v>
      </c>
      <c r="C28" s="1576">
        <v>0</v>
      </c>
      <c r="D28" s="1570"/>
      <c r="E28" s="1577" t="s">
        <v>137</v>
      </c>
      <c r="F28" s="1572">
        <v>1</v>
      </c>
      <c r="G28" s="1573"/>
      <c r="H28" s="1574"/>
    </row>
    <row r="29" spans="1:8" s="1553" customFormat="1" ht="16.5" hidden="1" thickBot="1" x14ac:dyDescent="0.25">
      <c r="A29" s="1873"/>
      <c r="B29" s="1578" t="s">
        <v>12</v>
      </c>
      <c r="C29" s="1579">
        <v>0</v>
      </c>
      <c r="D29" s="1580"/>
      <c r="E29" s="1581"/>
      <c r="F29" s="1582"/>
      <c r="G29" s="1583"/>
      <c r="H29" s="1584"/>
    </row>
    <row r="30" spans="1:8" s="1553" customFormat="1" hidden="1" x14ac:dyDescent="0.2">
      <c r="A30" s="1585"/>
      <c r="B30" s="1586" t="s">
        <v>135</v>
      </c>
      <c r="C30" s="1587"/>
      <c r="D30" s="1588"/>
      <c r="E30" s="1589"/>
      <c r="F30" s="1590"/>
      <c r="G30" s="1591"/>
      <c r="H30" s="1592"/>
    </row>
    <row r="31" spans="1:8" s="1553" customFormat="1" ht="63" hidden="1" x14ac:dyDescent="0.2">
      <c r="A31" s="1862">
        <v>3</v>
      </c>
      <c r="B31" s="1593" t="s">
        <v>170</v>
      </c>
      <c r="C31" s="1594"/>
      <c r="D31" s="1563">
        <f>ROUND(C32+C31*C33,2)</f>
        <v>0</v>
      </c>
      <c r="E31" s="1564" t="s">
        <v>134</v>
      </c>
      <c r="F31" s="1565">
        <v>1</v>
      </c>
      <c r="G31" s="1566" t="str">
        <f>CONCATENATE(D31,"*",F31,"*",F32)</f>
        <v>0*1*1</v>
      </c>
      <c r="H31" s="1567">
        <f>ROUND(D31*F31*F32,2)</f>
        <v>0</v>
      </c>
    </row>
    <row r="32" spans="1:8" s="1553" customFormat="1" hidden="1" x14ac:dyDescent="0.2">
      <c r="A32" s="1862"/>
      <c r="B32" s="1575" t="s">
        <v>168</v>
      </c>
      <c r="C32" s="1595">
        <v>0</v>
      </c>
      <c r="D32" s="1570"/>
      <c r="E32" s="1577" t="s">
        <v>135</v>
      </c>
      <c r="F32" s="1572">
        <v>1</v>
      </c>
      <c r="G32" s="1573" t="s">
        <v>47</v>
      </c>
      <c r="H32" s="1574"/>
    </row>
    <row r="33" spans="1:9" s="1553" customFormat="1" ht="16.5" hidden="1" thickBot="1" x14ac:dyDescent="0.25">
      <c r="A33" s="1863"/>
      <c r="B33" s="1578" t="s">
        <v>12</v>
      </c>
      <c r="C33" s="1579">
        <v>0</v>
      </c>
      <c r="D33" s="1580"/>
      <c r="E33" s="1596"/>
      <c r="F33" s="1582"/>
      <c r="G33" s="1583"/>
      <c r="H33" s="1584"/>
    </row>
    <row r="34" spans="1:9" x14ac:dyDescent="0.2">
      <c r="A34" s="179"/>
      <c r="B34" s="180" t="s">
        <v>140</v>
      </c>
      <c r="C34" s="181"/>
      <c r="D34" s="181"/>
      <c r="E34" s="181"/>
      <c r="F34" s="181"/>
      <c r="G34" s="1509"/>
      <c r="H34" s="1312"/>
    </row>
    <row r="35" spans="1:9" x14ac:dyDescent="0.2">
      <c r="A35" s="187"/>
      <c r="B35" s="182" t="s">
        <v>137</v>
      </c>
      <c r="C35" s="183"/>
      <c r="D35" s="84"/>
      <c r="E35" s="85"/>
      <c r="F35" s="83"/>
      <c r="G35" s="1510"/>
      <c r="H35" s="1313"/>
    </row>
    <row r="36" spans="1:9" ht="31.5" x14ac:dyDescent="0.2">
      <c r="A36" s="1887">
        <v>2</v>
      </c>
      <c r="B36" s="190" t="s">
        <v>169</v>
      </c>
      <c r="C36" s="193"/>
      <c r="D36" s="87">
        <f>C39+C40*C36</f>
        <v>89000</v>
      </c>
      <c r="E36" s="695" t="s">
        <v>164</v>
      </c>
      <c r="F36" s="696">
        <v>1.2</v>
      </c>
      <c r="G36" s="1501" t="str">
        <f>CONCATENATE(D36,"*",F36,"*",F39,"*",F37)</f>
        <v>89000*1,2*1*2</v>
      </c>
      <c r="H36" s="196">
        <f>ROUND(D36*F36*F39*F37,2)</f>
        <v>213600</v>
      </c>
    </row>
    <row r="37" spans="1:9" x14ac:dyDescent="0.2">
      <c r="A37" s="1887"/>
      <c r="B37" s="675" t="s">
        <v>565</v>
      </c>
      <c r="C37" s="197"/>
      <c r="D37" s="99"/>
      <c r="E37" s="676" t="s">
        <v>134</v>
      </c>
      <c r="F37" s="91">
        <v>2</v>
      </c>
      <c r="G37" s="1507"/>
      <c r="H37" s="1310"/>
    </row>
    <row r="38" spans="1:9" x14ac:dyDescent="0.2">
      <c r="A38" s="1887"/>
      <c r="B38" s="675"/>
      <c r="C38" s="197"/>
      <c r="D38" s="99"/>
      <c r="E38" s="170"/>
      <c r="F38" s="91"/>
      <c r="G38" s="1507"/>
      <c r="H38" s="1310"/>
    </row>
    <row r="39" spans="1:9" x14ac:dyDescent="0.2">
      <c r="A39" s="1887"/>
      <c r="B39" s="676" t="s">
        <v>168</v>
      </c>
      <c r="C39" s="198">
        <v>89000</v>
      </c>
      <c r="D39" s="99"/>
      <c r="E39" s="199" t="s">
        <v>137</v>
      </c>
      <c r="F39" s="91">
        <v>1</v>
      </c>
      <c r="G39" s="1507"/>
      <c r="H39" s="1310"/>
    </row>
    <row r="40" spans="1:9" ht="16.5" thickBot="1" x14ac:dyDescent="0.25">
      <c r="A40" s="1887"/>
      <c r="B40" s="176" t="s">
        <v>12</v>
      </c>
      <c r="C40" s="171">
        <v>0</v>
      </c>
      <c r="D40" s="89"/>
      <c r="E40" s="88"/>
      <c r="F40" s="173"/>
      <c r="G40" s="1508"/>
      <c r="H40" s="1311"/>
    </row>
    <row r="41" spans="1:9" x14ac:dyDescent="0.2">
      <c r="A41" s="184"/>
      <c r="B41" s="185" t="s">
        <v>135</v>
      </c>
      <c r="C41" s="186"/>
      <c r="D41" s="82"/>
      <c r="E41" s="92"/>
      <c r="F41" s="93"/>
      <c r="G41" s="1511"/>
      <c r="H41" s="1314"/>
    </row>
    <row r="42" spans="1:9" ht="47.25" x14ac:dyDescent="0.2">
      <c r="A42" s="1887">
        <v>3</v>
      </c>
      <c r="B42" s="192" t="s">
        <v>136</v>
      </c>
      <c r="C42" s="200"/>
      <c r="D42" s="87">
        <f>ROUND(C43+C42*C44,2)</f>
        <v>11000</v>
      </c>
      <c r="E42" s="695" t="s">
        <v>164</v>
      </c>
      <c r="F42" s="696">
        <v>1.2</v>
      </c>
      <c r="G42" s="1500" t="str">
        <f>CONCATENATE(D42,"*",F42,"*",F43,"*",F44)</f>
        <v>11000*1,2*2*1</v>
      </c>
      <c r="H42" s="196">
        <f>ROUND(D42*F42*F43,2)</f>
        <v>26400</v>
      </c>
    </row>
    <row r="43" spans="1:9" ht="31.5" x14ac:dyDescent="0.2">
      <c r="A43" s="1887"/>
      <c r="B43" s="676" t="s">
        <v>121</v>
      </c>
      <c r="C43" s="102">
        <v>11000</v>
      </c>
      <c r="D43" s="99"/>
      <c r="E43" s="199" t="s">
        <v>135</v>
      </c>
      <c r="F43" s="91">
        <v>2</v>
      </c>
      <c r="G43" s="1512" t="s">
        <v>47</v>
      </c>
      <c r="H43" s="1310"/>
    </row>
    <row r="44" spans="1:9" ht="24.75" customHeight="1" thickBot="1" x14ac:dyDescent="0.25">
      <c r="A44" s="1889"/>
      <c r="B44" s="176" t="s">
        <v>12</v>
      </c>
      <c r="C44" s="171">
        <v>0</v>
      </c>
      <c r="D44" s="89"/>
      <c r="E44" s="172" t="s">
        <v>134</v>
      </c>
      <c r="F44" s="173">
        <v>1</v>
      </c>
      <c r="G44" s="1508"/>
      <c r="H44" s="1311"/>
    </row>
    <row r="45" spans="1:9" s="5" customFormat="1" ht="15.75" customHeight="1" x14ac:dyDescent="0.2">
      <c r="A45" s="179"/>
      <c r="B45" s="180" t="s">
        <v>760</v>
      </c>
      <c r="C45" s="180"/>
      <c r="D45" s="180"/>
      <c r="E45" s="474"/>
      <c r="F45" s="474"/>
      <c r="G45" s="1509"/>
      <c r="H45" s="1315"/>
      <c r="I45" s="463"/>
    </row>
    <row r="46" spans="1:9" s="5" customFormat="1" x14ac:dyDescent="0.2">
      <c r="A46" s="1870">
        <v>6</v>
      </c>
      <c r="B46" s="466" t="s">
        <v>218</v>
      </c>
      <c r="C46" s="473">
        <v>17.8</v>
      </c>
      <c r="D46" s="99">
        <f>ROUND(C48+C46*C49,0)</f>
        <v>25200</v>
      </c>
      <c r="E46" s="462"/>
      <c r="F46" s="91"/>
      <c r="G46" s="1499" t="str">
        <f>CONCATENATE(D46,"*",F48)</f>
        <v>25200*0,4</v>
      </c>
      <c r="H46" s="101">
        <f>ROUND(D46*F48,2)</f>
        <v>10080</v>
      </c>
      <c r="I46" s="463"/>
    </row>
    <row r="47" spans="1:9" s="5" customFormat="1" x14ac:dyDescent="0.2">
      <c r="A47" s="1870"/>
      <c r="B47" s="464" t="s">
        <v>764</v>
      </c>
      <c r="C47" s="464"/>
      <c r="D47" s="99"/>
      <c r="E47" s="465"/>
      <c r="F47" s="91"/>
      <c r="G47" s="1507"/>
      <c r="H47" s="101"/>
      <c r="I47" s="463"/>
    </row>
    <row r="48" spans="1:9" s="5" customFormat="1" ht="31.5" x14ac:dyDescent="0.2">
      <c r="A48" s="1870"/>
      <c r="B48" s="466" t="s">
        <v>762</v>
      </c>
      <c r="C48" s="467">
        <v>25200</v>
      </c>
      <c r="D48" s="99"/>
      <c r="E48" s="465" t="s">
        <v>220</v>
      </c>
      <c r="F48" s="91">
        <v>0.4</v>
      </c>
      <c r="G48" s="1507"/>
      <c r="H48" s="101"/>
      <c r="I48" s="463"/>
    </row>
    <row r="49" spans="1:20" s="5" customFormat="1" ht="16.5" thickBot="1" x14ac:dyDescent="0.25">
      <c r="A49" s="1871"/>
      <c r="B49" s="468" t="s">
        <v>12</v>
      </c>
      <c r="C49" s="469">
        <v>0</v>
      </c>
      <c r="D49" s="89"/>
      <c r="E49" s="470"/>
      <c r="F49" s="173"/>
      <c r="G49" s="1508"/>
      <c r="H49" s="1311"/>
      <c r="I49" s="463"/>
    </row>
    <row r="50" spans="1:20" s="5" customFormat="1" ht="47.25" x14ac:dyDescent="0.25">
      <c r="A50" s="1865">
        <v>7</v>
      </c>
      <c r="B50" s="461" t="s">
        <v>221</v>
      </c>
      <c r="C50" s="471"/>
      <c r="D50" s="95">
        <f>ROUND(C52+C50*C53,2)</f>
        <v>59000</v>
      </c>
      <c r="E50" s="461" t="s">
        <v>134</v>
      </c>
      <c r="F50" s="97">
        <v>2</v>
      </c>
      <c r="G50" s="1498" t="str">
        <f>CONCATENATE(D50,"*",F52,"*",F50)</f>
        <v>59000*0,4*2</v>
      </c>
      <c r="H50" s="98">
        <f>ROUND(D50*F52*F50,2)</f>
        <v>47200</v>
      </c>
      <c r="I50" s="463"/>
    </row>
    <row r="51" spans="1:20" s="5" customFormat="1" x14ac:dyDescent="0.2">
      <c r="A51" s="1865"/>
      <c r="B51" s="460" t="s">
        <v>761</v>
      </c>
      <c r="C51" s="197"/>
      <c r="D51" s="99"/>
      <c r="E51" s="465"/>
      <c r="F51" s="91"/>
      <c r="G51" s="1507"/>
      <c r="H51" s="1310"/>
      <c r="I51" s="463"/>
    </row>
    <row r="52" spans="1:20" s="5" customFormat="1" ht="31.5" x14ac:dyDescent="0.2">
      <c r="A52" s="1865"/>
      <c r="B52" s="462" t="s">
        <v>168</v>
      </c>
      <c r="C52" s="467">
        <v>59000</v>
      </c>
      <c r="D52" s="99"/>
      <c r="E52" s="465" t="s">
        <v>220</v>
      </c>
      <c r="F52" s="91">
        <v>0.4</v>
      </c>
      <c r="G52" s="1507"/>
      <c r="H52" s="1310"/>
      <c r="I52" s="463"/>
    </row>
    <row r="53" spans="1:20" s="5" customFormat="1" ht="16.5" thickBot="1" x14ac:dyDescent="0.25">
      <c r="A53" s="1866"/>
      <c r="B53" s="176" t="s">
        <v>12</v>
      </c>
      <c r="C53" s="472">
        <v>0</v>
      </c>
      <c r="D53" s="89"/>
      <c r="E53" s="172"/>
      <c r="F53" s="173"/>
      <c r="G53" s="1508"/>
      <c r="H53" s="1311"/>
      <c r="I53" s="463"/>
    </row>
    <row r="54" spans="1:20" s="5" customFormat="1" ht="47.25" x14ac:dyDescent="0.25">
      <c r="A54" s="1864">
        <v>8</v>
      </c>
      <c r="B54" s="192" t="s">
        <v>222</v>
      </c>
      <c r="C54" s="471"/>
      <c r="D54" s="95">
        <f>ROUND(C56+C54*C57,2)</f>
        <v>11000</v>
      </c>
      <c r="E54" s="461"/>
      <c r="F54" s="97"/>
      <c r="G54" s="1498" t="str">
        <f>CONCATENATE(D54,"*",F56,"*",F55)</f>
        <v>11000*0,4*2</v>
      </c>
      <c r="H54" s="98">
        <f>ROUND(D54*F56*F55,2)</f>
        <v>8800</v>
      </c>
      <c r="I54" s="463"/>
    </row>
    <row r="55" spans="1:20" s="5" customFormat="1" x14ac:dyDescent="0.2">
      <c r="A55" s="1865"/>
      <c r="B55" s="460"/>
      <c r="C55" s="197"/>
      <c r="D55" s="99"/>
      <c r="E55" s="462" t="s">
        <v>219</v>
      </c>
      <c r="F55" s="91">
        <v>2</v>
      </c>
      <c r="G55" s="1507"/>
      <c r="H55" s="1310"/>
      <c r="I55" s="463"/>
    </row>
    <row r="56" spans="1:20" s="5" customFormat="1" ht="31.5" x14ac:dyDescent="0.2">
      <c r="A56" s="1865"/>
      <c r="B56" s="462" t="s">
        <v>168</v>
      </c>
      <c r="C56" s="467">
        <v>11000</v>
      </c>
      <c r="D56" s="99"/>
      <c r="E56" s="465" t="s">
        <v>220</v>
      </c>
      <c r="F56" s="91">
        <v>0.4</v>
      </c>
      <c r="G56" s="1507"/>
      <c r="H56" s="1310"/>
      <c r="I56" s="463"/>
    </row>
    <row r="57" spans="1:20" s="5" customFormat="1" ht="16.5" thickBot="1" x14ac:dyDescent="0.25">
      <c r="A57" s="1866"/>
      <c r="B57" s="176" t="s">
        <v>12</v>
      </c>
      <c r="C57" s="472">
        <v>0</v>
      </c>
      <c r="D57" s="89"/>
      <c r="E57" s="172"/>
      <c r="F57" s="173"/>
      <c r="G57" s="1508"/>
      <c r="H57" s="1311"/>
      <c r="I57" s="463"/>
    </row>
    <row r="58" spans="1:20" ht="14.25" customHeight="1" x14ac:dyDescent="0.2">
      <c r="A58" s="179"/>
      <c r="B58" s="180" t="s">
        <v>116</v>
      </c>
      <c r="C58" s="181"/>
      <c r="D58" s="181"/>
      <c r="E58" s="181"/>
      <c r="F58" s="181"/>
      <c r="G58" s="1509"/>
      <c r="H58" s="1312"/>
    </row>
    <row r="59" spans="1:20" ht="94.5" x14ac:dyDescent="0.2">
      <c r="A59" s="1870">
        <v>4</v>
      </c>
      <c r="B59" s="189" t="s">
        <v>117</v>
      </c>
      <c r="C59" s="188">
        <f>C17</f>
        <v>17.8</v>
      </c>
      <c r="D59" s="99">
        <f>ROUND(C60+C59*C61,2)</f>
        <v>21000</v>
      </c>
      <c r="E59" s="90"/>
      <c r="F59" s="91"/>
      <c r="G59" s="1502">
        <f>ROUND(D59,2)</f>
        <v>21000</v>
      </c>
      <c r="H59" s="196">
        <f>ROUND(D59,2)</f>
        <v>21000</v>
      </c>
    </row>
    <row r="60" spans="1:20" ht="31.5" x14ac:dyDescent="0.2">
      <c r="A60" s="1870"/>
      <c r="B60" s="90" t="s">
        <v>118</v>
      </c>
      <c r="C60" s="102">
        <v>21000</v>
      </c>
      <c r="D60" s="99"/>
      <c r="E60" s="100"/>
      <c r="F60" s="103"/>
      <c r="G60" s="1513"/>
      <c r="H60" s="101"/>
    </row>
    <row r="61" spans="1:20" ht="16.5" thickBot="1" x14ac:dyDescent="0.25">
      <c r="A61" s="1870"/>
      <c r="B61" s="153" t="s">
        <v>12</v>
      </c>
      <c r="C61" s="102"/>
      <c r="D61" s="99"/>
      <c r="E61" s="100"/>
      <c r="F61" s="103"/>
      <c r="G61" s="1513"/>
      <c r="H61" s="1310"/>
    </row>
    <row r="62" spans="1:20" ht="16.5" thickBot="1" x14ac:dyDescent="0.25">
      <c r="A62" s="350"/>
      <c r="B62" s="697" t="s">
        <v>568</v>
      </c>
      <c r="C62" s="1343"/>
      <c r="D62" s="1344"/>
      <c r="E62" s="697"/>
      <c r="F62" s="1345"/>
      <c r="G62" s="1497"/>
      <c r="H62" s="1346"/>
    </row>
    <row r="63" spans="1:20" s="54" customFormat="1" ht="39" customHeight="1" x14ac:dyDescent="0.2">
      <c r="A63" s="1867">
        <v>5</v>
      </c>
      <c r="B63" s="191" t="s">
        <v>566</v>
      </c>
      <c r="C63" s="1320"/>
      <c r="D63" s="1321">
        <f>C64+C65*C63</f>
        <v>17900</v>
      </c>
      <c r="E63" s="1322"/>
      <c r="F63" s="1323"/>
      <c r="G63" s="1324">
        <f>D63</f>
        <v>17900</v>
      </c>
      <c r="H63" s="1325">
        <f>D63</f>
        <v>17900</v>
      </c>
      <c r="N63" s="1326"/>
      <c r="O63" s="1327"/>
      <c r="P63" s="665"/>
      <c r="Q63" s="1328"/>
      <c r="R63" s="55"/>
      <c r="S63" s="1329"/>
      <c r="T63" s="1330"/>
    </row>
    <row r="64" spans="1:20" s="54" customFormat="1" ht="30" customHeight="1" x14ac:dyDescent="0.2">
      <c r="A64" s="1867"/>
      <c r="B64" s="1331" t="s">
        <v>567</v>
      </c>
      <c r="C64" s="1332">
        <v>17900</v>
      </c>
      <c r="D64" s="1333"/>
      <c r="E64" s="1322"/>
      <c r="F64" s="1323"/>
      <c r="G64" s="1334"/>
      <c r="H64" s="1335"/>
      <c r="N64" s="1326"/>
      <c r="O64" s="1327"/>
      <c r="P64" s="665"/>
      <c r="Q64" s="1328"/>
      <c r="R64" s="55"/>
      <c r="S64" s="1329"/>
      <c r="T64" s="1330"/>
    </row>
    <row r="65" spans="1:20" s="54" customFormat="1" ht="17.25" customHeight="1" thickBot="1" x14ac:dyDescent="0.25">
      <c r="A65" s="1868"/>
      <c r="B65" s="1336" t="s">
        <v>12</v>
      </c>
      <c r="C65" s="1337">
        <v>0</v>
      </c>
      <c r="D65" s="1338"/>
      <c r="E65" s="1339"/>
      <c r="F65" s="1340"/>
      <c r="G65" s="1341"/>
      <c r="H65" s="1342"/>
      <c r="N65" s="1326"/>
      <c r="O65" s="1327"/>
      <c r="P65" s="665"/>
      <c r="Q65" s="1328"/>
      <c r="R65" s="55"/>
      <c r="S65" s="1329"/>
      <c r="T65" s="1330"/>
    </row>
    <row r="66" spans="1:20" ht="18.75" customHeight="1" thickBot="1" x14ac:dyDescent="0.25">
      <c r="A66" s="178"/>
      <c r="B66" s="1503" t="s">
        <v>62</v>
      </c>
      <c r="C66" s="1503"/>
      <c r="D66" s="1503"/>
      <c r="E66" s="1503"/>
      <c r="F66" s="1503"/>
      <c r="G66" s="1514"/>
      <c r="H66" s="202">
        <f>SUM(H17:H65)</f>
        <v>378244</v>
      </c>
    </row>
    <row r="67" spans="1:20" ht="43.5" customHeight="1" thickBot="1" x14ac:dyDescent="0.25">
      <c r="A67" s="104"/>
      <c r="B67" s="1888" t="s">
        <v>77</v>
      </c>
      <c r="C67" s="1888"/>
      <c r="D67" s="1888"/>
      <c r="E67" s="149" t="s">
        <v>166</v>
      </c>
      <c r="F67" s="105">
        <v>1.02</v>
      </c>
      <c r="G67" s="1497" t="str">
        <f>CONCATENATE(H66,"*",F67)</f>
        <v>378244*1,02</v>
      </c>
      <c r="H67" s="106">
        <f>ROUND(H66*F67,2)</f>
        <v>385808.88</v>
      </c>
    </row>
    <row r="68" spans="1:20" ht="16.5" thickBot="1" x14ac:dyDescent="0.25">
      <c r="A68" s="1890" t="s">
        <v>13</v>
      </c>
      <c r="B68" s="1891"/>
      <c r="C68" s="1891"/>
      <c r="D68" s="1891"/>
      <c r="E68" s="1891"/>
      <c r="F68" s="1891"/>
      <c r="G68" s="1891"/>
      <c r="H68" s="1892"/>
    </row>
    <row r="69" spans="1:20" x14ac:dyDescent="0.2">
      <c r="A69" s="1880" t="s">
        <v>2</v>
      </c>
      <c r="B69" s="1881"/>
      <c r="C69" s="1881"/>
      <c r="D69" s="1881"/>
      <c r="E69" s="1881"/>
      <c r="F69" s="1881"/>
      <c r="G69" s="1881"/>
      <c r="H69" s="1882"/>
    </row>
    <row r="70" spans="1:20" ht="16.5" thickBot="1" x14ac:dyDescent="0.25">
      <c r="A70" s="1877" t="s">
        <v>98</v>
      </c>
      <c r="B70" s="1878"/>
      <c r="C70" s="1878"/>
      <c r="D70" s="1878"/>
      <c r="E70" s="1878"/>
      <c r="F70" s="1878"/>
      <c r="G70" s="1878"/>
      <c r="H70" s="1879"/>
    </row>
    <row r="71" spans="1:20" s="54" customFormat="1" ht="15" x14ac:dyDescent="0.2">
      <c r="A71" s="230"/>
      <c r="B71" s="231" t="s">
        <v>179</v>
      </c>
      <c r="C71" s="232" t="s">
        <v>180</v>
      </c>
      <c r="D71" s="233">
        <f>C80</f>
        <v>1.78E-2</v>
      </c>
      <c r="E71" s="234"/>
      <c r="F71" s="234"/>
      <c r="G71" s="234" t="s">
        <v>14</v>
      </c>
      <c r="H71" s="1316"/>
    </row>
    <row r="72" spans="1:20" ht="60" x14ac:dyDescent="0.2">
      <c r="A72" s="1883">
        <v>1</v>
      </c>
      <c r="B72" s="229" t="s">
        <v>171</v>
      </c>
      <c r="C72" s="229"/>
      <c r="D72" s="107">
        <f>ROUND(C73+C74*C72,2)</f>
        <v>54000</v>
      </c>
      <c r="E72" s="151"/>
      <c r="F72" s="152"/>
      <c r="G72" s="108">
        <f>ROUND(D72,2)</f>
        <v>54000</v>
      </c>
      <c r="H72" s="109">
        <f>ROUND(G72,2)</f>
        <v>54000</v>
      </c>
    </row>
    <row r="73" spans="1:20" ht="14.25" customHeight="1" x14ac:dyDescent="0.2">
      <c r="A73" s="1883"/>
      <c r="B73" s="153" t="s">
        <v>7</v>
      </c>
      <c r="C73" s="154">
        <v>54000</v>
      </c>
      <c r="D73" s="107"/>
      <c r="E73" s="151"/>
      <c r="F73" s="152"/>
      <c r="G73" s="1490"/>
      <c r="H73" s="109"/>
    </row>
    <row r="74" spans="1:20" ht="16.5" thickBot="1" x14ac:dyDescent="0.25">
      <c r="A74" s="1883"/>
      <c r="B74" s="176" t="s">
        <v>8</v>
      </c>
      <c r="C74" s="203"/>
      <c r="D74" s="204"/>
      <c r="E74" s="205"/>
      <c r="F74" s="206"/>
      <c r="G74" s="207"/>
      <c r="H74" s="208"/>
    </row>
    <row r="75" spans="1:20" ht="21.75" customHeight="1" thickBot="1" x14ac:dyDescent="0.25">
      <c r="A75" s="111"/>
      <c r="B75" s="112" t="s">
        <v>18</v>
      </c>
      <c r="C75" s="155"/>
      <c r="D75" s="113"/>
      <c r="E75" s="156"/>
      <c r="F75" s="114"/>
      <c r="G75" s="105"/>
      <c r="H75" s="106">
        <f>H72</f>
        <v>54000</v>
      </c>
    </row>
    <row r="76" spans="1:20" ht="22.5" customHeight="1" thickBot="1" x14ac:dyDescent="0.25">
      <c r="A76" s="1884" t="s">
        <v>10</v>
      </c>
      <c r="B76" s="1885"/>
      <c r="C76" s="1885"/>
      <c r="D76" s="1885"/>
      <c r="E76" s="1885"/>
      <c r="F76" s="1885"/>
      <c r="G76" s="1885"/>
      <c r="H76" s="1886"/>
    </row>
    <row r="77" spans="1:20" s="54" customFormat="1" ht="61.5" customHeight="1" thickBot="1" x14ac:dyDescent="0.25">
      <c r="A77" s="1874" t="s">
        <v>569</v>
      </c>
      <c r="B77" s="1875"/>
      <c r="C77" s="1875"/>
      <c r="D77" s="1875"/>
      <c r="E77" s="1875"/>
      <c r="F77" s="1875"/>
      <c r="G77" s="1875"/>
      <c r="H77" s="1876"/>
      <c r="I77" s="209" t="s">
        <v>173</v>
      </c>
      <c r="J77" s="224"/>
    </row>
    <row r="78" spans="1:20" s="36" customFormat="1" ht="16.5" thickTop="1" x14ac:dyDescent="0.2">
      <c r="A78" s="115"/>
      <c r="B78" s="215" t="s">
        <v>57</v>
      </c>
      <c r="C78" s="216">
        <f>C17</f>
        <v>17.8</v>
      </c>
      <c r="D78" s="217" t="s">
        <v>15</v>
      </c>
      <c r="E78" s="218"/>
      <c r="F78" s="218"/>
      <c r="G78" s="218"/>
      <c r="H78" s="1317"/>
      <c r="I78" s="210">
        <v>0</v>
      </c>
      <c r="J78" s="225" t="s">
        <v>174</v>
      </c>
    </row>
    <row r="79" spans="1:20" s="36" customFormat="1" ht="18" thickBot="1" x14ac:dyDescent="0.25">
      <c r="A79" s="116"/>
      <c r="B79" s="219" t="s">
        <v>177</v>
      </c>
      <c r="C79" s="220">
        <f>SUM(C78*10)</f>
        <v>178</v>
      </c>
      <c r="D79" s="221" t="s">
        <v>178</v>
      </c>
      <c r="E79" s="222"/>
      <c r="F79" s="222"/>
      <c r="G79" s="222"/>
      <c r="H79" s="1318"/>
      <c r="I79" s="211">
        <v>0</v>
      </c>
      <c r="J79" s="225" t="s">
        <v>175</v>
      </c>
    </row>
    <row r="80" spans="1:20" s="36" customFormat="1" ht="18.75" thickTop="1" thickBot="1" x14ac:dyDescent="0.25">
      <c r="A80" s="117"/>
      <c r="B80" s="235" t="s">
        <v>177</v>
      </c>
      <c r="C80" s="236">
        <f>C79/10000</f>
        <v>1.78E-2</v>
      </c>
      <c r="D80" s="237" t="s">
        <v>16</v>
      </c>
      <c r="E80" s="238"/>
      <c r="F80" s="238"/>
      <c r="G80" s="238"/>
      <c r="H80" s="1319"/>
      <c r="I80" s="212">
        <f>ROUNDDOWN(I79/5,0)</f>
        <v>0</v>
      </c>
      <c r="J80" s="214" t="s">
        <v>176</v>
      </c>
      <c r="K80" s="35"/>
    </row>
    <row r="81" spans="1:15" s="36" customFormat="1" ht="69" customHeight="1" thickBot="1" x14ac:dyDescent="0.25">
      <c r="A81" s="213"/>
      <c r="B81" s="1855" t="str">
        <f>CONCATENATE("Исходные данные:   Площадь обследуемой территории -  ",C80," га.  Количество деревьев - ",I78," шт.  Количество кустарников - ",I79," шт.")</f>
        <v>Исходные данные:   Площадь обследуемой территории -  0,0178 га.  Количество деревьев - 0 шт.  Количество кустарников - 0 шт.</v>
      </c>
      <c r="C81" s="1856"/>
      <c r="D81" s="1857"/>
      <c r="E81" s="223"/>
      <c r="F81" s="1858" t="str">
        <f>CONCATENATE("Приведение численности кустарников к условным деревьям ",I79,":5=",I80," шт.(условных деревьев). Всего деревьев ",I78,"+",I80,"=",I81," шт. На 1га приходится условных деревьев: ",I81,":",C80,"=",I82,".")</f>
        <v>Приведение численности кустарников к условным деревьям 0:5=0 шт.(условных деревьев). Всего деревьев 0+0=0 шт. На 1га приходится условных деревьев: 0:0,0178=.</v>
      </c>
      <c r="G81" s="1859"/>
      <c r="H81" s="1860"/>
      <c r="I81" s="214">
        <f>I78+I80</f>
        <v>0</v>
      </c>
      <c r="J81" s="214" t="s">
        <v>172</v>
      </c>
    </row>
    <row r="82" spans="1:15" x14ac:dyDescent="0.2">
      <c r="A82" s="157"/>
      <c r="B82" s="1861" t="s">
        <v>79</v>
      </c>
      <c r="C82" s="1861"/>
      <c r="D82" s="1861"/>
      <c r="E82" s="118"/>
      <c r="F82" s="119"/>
      <c r="G82" s="1515" t="s">
        <v>14</v>
      </c>
      <c r="H82" s="120"/>
    </row>
    <row r="83" spans="1:15" s="126" customFormat="1" ht="53.25" customHeight="1" x14ac:dyDescent="0.2">
      <c r="A83" s="121">
        <v>1</v>
      </c>
      <c r="B83" s="226" t="s">
        <v>570</v>
      </c>
      <c r="C83" s="158"/>
      <c r="D83" s="122">
        <v>2038</v>
      </c>
      <c r="E83" s="1537" t="s">
        <v>666</v>
      </c>
      <c r="F83" s="123">
        <v>0.75</v>
      </c>
      <c r="G83" s="124" t="str">
        <f>CONCATENATE(D83,"*",F83)</f>
        <v>2038*0,75</v>
      </c>
      <c r="H83" s="125">
        <f>ROUND(D83*F83,2)</f>
        <v>1528.5</v>
      </c>
    </row>
    <row r="84" spans="1:15" s="126" customFormat="1" ht="65.25" customHeight="1" x14ac:dyDescent="0.2">
      <c r="A84" s="121">
        <v>2</v>
      </c>
      <c r="B84" s="226" t="s">
        <v>571</v>
      </c>
      <c r="C84" s="158"/>
      <c r="D84" s="122">
        <v>8099</v>
      </c>
      <c r="E84" s="1537" t="s">
        <v>666</v>
      </c>
      <c r="F84" s="123">
        <v>0.75</v>
      </c>
      <c r="G84" s="124" t="str">
        <f t="shared" ref="G84:G87" si="0">CONCATENATE(D84,"*",F84)</f>
        <v>8099*0,75</v>
      </c>
      <c r="H84" s="125">
        <f>ROUND(D84*F84,2)</f>
        <v>6074.25</v>
      </c>
    </row>
    <row r="85" spans="1:15" s="127" customFormat="1" ht="57.75" x14ac:dyDescent="0.2">
      <c r="A85" s="121">
        <v>3</v>
      </c>
      <c r="B85" s="226" t="s">
        <v>572</v>
      </c>
      <c r="C85" s="158"/>
      <c r="D85" s="122">
        <v>2038</v>
      </c>
      <c r="E85" s="1537" t="s">
        <v>666</v>
      </c>
      <c r="F85" s="123">
        <v>0.75</v>
      </c>
      <c r="G85" s="124" t="str">
        <f t="shared" si="0"/>
        <v>2038*0,75</v>
      </c>
      <c r="H85" s="125">
        <f>ROUND(D85*F85,2)</f>
        <v>1528.5</v>
      </c>
    </row>
    <row r="86" spans="1:15" s="127" customFormat="1" ht="29.25" x14ac:dyDescent="0.2">
      <c r="A86" s="121">
        <v>4</v>
      </c>
      <c r="B86" s="226" t="s">
        <v>573</v>
      </c>
      <c r="C86" s="158"/>
      <c r="D86" s="122">
        <v>2495</v>
      </c>
      <c r="E86" s="1537" t="s">
        <v>666</v>
      </c>
      <c r="F86" s="123">
        <v>0.75</v>
      </c>
      <c r="G86" s="124" t="str">
        <f t="shared" si="0"/>
        <v>2495*0,75</v>
      </c>
      <c r="H86" s="125">
        <f>ROUND(D86*F86,2)</f>
        <v>1871.25</v>
      </c>
    </row>
    <row r="87" spans="1:15" s="127" customFormat="1" ht="36.75" customHeight="1" thickBot="1" x14ac:dyDescent="0.25">
      <c r="A87" s="128">
        <v>5</v>
      </c>
      <c r="B87" s="227" t="s">
        <v>574</v>
      </c>
      <c r="C87" s="159"/>
      <c r="D87" s="129">
        <v>4074</v>
      </c>
      <c r="E87" s="1537" t="s">
        <v>666</v>
      </c>
      <c r="F87" s="123">
        <v>0.75</v>
      </c>
      <c r="G87" s="124" t="str">
        <f t="shared" si="0"/>
        <v>4074*0,75</v>
      </c>
      <c r="H87" s="125">
        <f>ROUND(D87*F87,2)</f>
        <v>3055.5</v>
      </c>
    </row>
    <row r="88" spans="1:15" s="160" customFormat="1" ht="24.75" customHeight="1" thickBot="1" x14ac:dyDescent="0.25">
      <c r="A88" s="130"/>
      <c r="B88" s="1852" t="s">
        <v>11</v>
      </c>
      <c r="C88" s="1853"/>
      <c r="D88" s="1853"/>
      <c r="E88" s="1853"/>
      <c r="F88" s="1853"/>
      <c r="G88" s="1854"/>
      <c r="H88" s="131">
        <f>ROUND(H83+H84+H85+H86+H87,2)</f>
        <v>14058</v>
      </c>
    </row>
    <row r="89" spans="1:15" s="136" customFormat="1" ht="24.75" customHeight="1" thickBot="1" x14ac:dyDescent="0.25">
      <c r="A89" s="132"/>
      <c r="B89" s="133" t="s">
        <v>63</v>
      </c>
      <c r="C89" s="134"/>
      <c r="D89" s="135"/>
      <c r="E89" s="135"/>
      <c r="F89" s="135"/>
      <c r="G89" s="1516"/>
      <c r="H89" s="106">
        <f>ROUND(H67+H75+H88,2)</f>
        <v>453866.88</v>
      </c>
    </row>
    <row r="90" spans="1:15" s="678" customFormat="1" ht="24.75" hidden="1" customHeight="1" thickBot="1" x14ac:dyDescent="0.25">
      <c r="A90" s="677"/>
      <c r="B90" s="1903" t="s">
        <v>291</v>
      </c>
      <c r="C90" s="1904"/>
      <c r="D90" s="1904"/>
      <c r="E90" s="1904"/>
      <c r="F90" s="1904"/>
      <c r="G90" s="1904"/>
      <c r="H90" s="1905"/>
    </row>
    <row r="91" spans="1:15" s="35" customFormat="1" ht="37.15" hidden="1" customHeight="1" thickBot="1" x14ac:dyDescent="0.25">
      <c r="A91" s="679"/>
      <c r="B91" s="1906" t="s">
        <v>305</v>
      </c>
      <c r="C91" s="1907"/>
      <c r="D91" s="1907"/>
      <c r="E91" s="1907"/>
      <c r="F91" s="1907"/>
      <c r="G91" s="1907"/>
      <c r="H91" s="1908"/>
      <c r="I91" s="680"/>
      <c r="J91" s="680"/>
      <c r="K91" s="680"/>
      <c r="L91" s="680"/>
      <c r="M91" s="680"/>
      <c r="N91" s="680"/>
      <c r="O91" s="680"/>
    </row>
    <row r="92" spans="1:15" s="1547" customFormat="1" ht="63.75" hidden="1" customHeight="1" thickBot="1" x14ac:dyDescent="0.25">
      <c r="A92" s="1539">
        <v>1</v>
      </c>
      <c r="B92" s="1901" t="s">
        <v>292</v>
      </c>
      <c r="C92" s="1902"/>
      <c r="D92" s="1540">
        <v>5036.72</v>
      </c>
      <c r="E92" s="1541" t="s">
        <v>293</v>
      </c>
      <c r="F92" s="1542">
        <v>1</v>
      </c>
      <c r="G92" s="1543" t="str">
        <f t="shared" ref="G92:G97" si="1">CONCATENATE(D92,"*",F92)</f>
        <v>5036,72*1</v>
      </c>
      <c r="H92" s="1544">
        <f t="shared" ref="H92:H97" si="2">ROUND(F92*D92,2)</f>
        <v>5036.72</v>
      </c>
      <c r="I92" s="1545"/>
      <c r="J92" s="1545"/>
      <c r="K92" s="1546"/>
    </row>
    <row r="93" spans="1:15" s="54" customFormat="1" ht="52.5" hidden="1" customHeight="1" thickBot="1" x14ac:dyDescent="0.25">
      <c r="A93" s="681"/>
      <c r="B93" s="1909" t="s">
        <v>294</v>
      </c>
      <c r="C93" s="1910"/>
      <c r="D93" s="682">
        <v>6619.69</v>
      </c>
      <c r="E93" s="683" t="s">
        <v>295</v>
      </c>
      <c r="F93" s="684">
        <v>1</v>
      </c>
      <c r="G93" s="685" t="str">
        <f t="shared" si="1"/>
        <v>6619,69*1</v>
      </c>
      <c r="H93" s="686">
        <f t="shared" si="2"/>
        <v>6619.69</v>
      </c>
      <c r="I93" s="671"/>
      <c r="J93" s="671"/>
      <c r="K93" s="687"/>
    </row>
    <row r="94" spans="1:15" s="1547" customFormat="1" ht="66" hidden="1" customHeight="1" thickBot="1" x14ac:dyDescent="0.25">
      <c r="A94" s="1539"/>
      <c r="B94" s="1901" t="s">
        <v>296</v>
      </c>
      <c r="C94" s="1902"/>
      <c r="D94" s="1540">
        <v>5036.72</v>
      </c>
      <c r="E94" s="1541" t="s">
        <v>297</v>
      </c>
      <c r="F94" s="1542">
        <v>1</v>
      </c>
      <c r="G94" s="1543" t="str">
        <f t="shared" si="1"/>
        <v>5036,72*1</v>
      </c>
      <c r="H94" s="1544">
        <f t="shared" si="2"/>
        <v>5036.72</v>
      </c>
      <c r="I94" s="1545"/>
      <c r="J94" s="1545"/>
      <c r="K94" s="1546"/>
    </row>
    <row r="95" spans="1:15" s="1547" customFormat="1" ht="64.5" hidden="1" customHeight="1" thickBot="1" x14ac:dyDescent="0.25">
      <c r="A95" s="1539"/>
      <c r="B95" s="1901" t="s">
        <v>298</v>
      </c>
      <c r="C95" s="1902"/>
      <c r="D95" s="1540">
        <v>7411.18</v>
      </c>
      <c r="E95" s="1541" t="s">
        <v>299</v>
      </c>
      <c r="F95" s="1542">
        <v>0</v>
      </c>
      <c r="G95" s="1543" t="str">
        <f t="shared" si="1"/>
        <v>7411,18*0</v>
      </c>
      <c r="H95" s="1544">
        <f t="shared" si="2"/>
        <v>0</v>
      </c>
      <c r="I95" s="1545"/>
      <c r="J95" s="1545"/>
      <c r="K95" s="1546"/>
    </row>
    <row r="96" spans="1:15" s="1547" customFormat="1" ht="61.5" hidden="1" customHeight="1" thickBot="1" x14ac:dyDescent="0.25">
      <c r="A96" s="1539"/>
      <c r="B96" s="1901" t="s">
        <v>300</v>
      </c>
      <c r="C96" s="1902"/>
      <c r="D96" s="1540">
        <v>8154.7</v>
      </c>
      <c r="E96" s="1541" t="s">
        <v>301</v>
      </c>
      <c r="F96" s="1542">
        <v>0</v>
      </c>
      <c r="G96" s="1543" t="str">
        <f t="shared" si="1"/>
        <v>8154,7*0</v>
      </c>
      <c r="H96" s="1544">
        <f t="shared" si="2"/>
        <v>0</v>
      </c>
      <c r="I96" s="1545"/>
      <c r="J96" s="1545"/>
      <c r="K96" s="1546"/>
    </row>
    <row r="97" spans="1:11" s="1547" customFormat="1" ht="48.75" hidden="1" customHeight="1" thickBot="1" x14ac:dyDescent="0.25">
      <c r="A97" s="1539"/>
      <c r="B97" s="1901" t="s">
        <v>302</v>
      </c>
      <c r="C97" s="1902"/>
      <c r="D97" s="1540">
        <v>8154.7</v>
      </c>
      <c r="E97" s="1541" t="s">
        <v>303</v>
      </c>
      <c r="F97" s="1542">
        <v>0</v>
      </c>
      <c r="G97" s="1543" t="str">
        <f t="shared" si="1"/>
        <v>8154,7*0</v>
      </c>
      <c r="H97" s="1544">
        <f t="shared" si="2"/>
        <v>0</v>
      </c>
      <c r="I97" s="1545"/>
      <c r="J97" s="1545"/>
      <c r="K97" s="1546"/>
    </row>
    <row r="98" spans="1:11" s="54" customFormat="1" ht="22.5" hidden="1" customHeight="1" thickBot="1" x14ac:dyDescent="0.25">
      <c r="A98" s="688"/>
      <c r="B98" s="689" t="s">
        <v>304</v>
      </c>
      <c r="C98" s="690"/>
      <c r="D98" s="691"/>
      <c r="E98" s="692"/>
      <c r="F98" s="684"/>
      <c r="G98" s="693"/>
      <c r="H98" s="664">
        <f>SUM(H92:H97)</f>
        <v>16693.13</v>
      </c>
      <c r="I98" s="671"/>
      <c r="J98" s="671"/>
      <c r="K98" s="687"/>
    </row>
    <row r="99" spans="1:11" s="136" customFormat="1" x14ac:dyDescent="0.2">
      <c r="A99" s="161"/>
      <c r="B99" s="137"/>
      <c r="C99" s="138"/>
      <c r="D99" s="137"/>
      <c r="E99" s="139"/>
      <c r="F99" s="140"/>
      <c r="G99" s="1491"/>
      <c r="H99" s="141"/>
    </row>
    <row r="100" spans="1:11" s="136" customFormat="1" x14ac:dyDescent="0.2">
      <c r="A100" s="161"/>
      <c r="B100" s="137"/>
      <c r="C100" s="138"/>
      <c r="D100" s="137"/>
      <c r="E100" s="139"/>
      <c r="F100" s="140"/>
      <c r="G100" s="1491"/>
      <c r="H100" s="141"/>
    </row>
    <row r="101" spans="1:11" s="136" customFormat="1" x14ac:dyDescent="0.2">
      <c r="A101" s="69"/>
      <c r="B101" s="69"/>
      <c r="C101" s="73"/>
      <c r="D101" s="71"/>
      <c r="E101" s="69"/>
      <c r="F101" s="72"/>
      <c r="G101" s="1492"/>
      <c r="H101" s="77"/>
    </row>
    <row r="102" spans="1:11" x14ac:dyDescent="0.2">
      <c r="H102" s="77">
        <f>H66+H75+H88</f>
        <v>446302</v>
      </c>
    </row>
  </sheetData>
  <mergeCells count="37">
    <mergeCell ref="B95:C95"/>
    <mergeCell ref="B96:C96"/>
    <mergeCell ref="B97:C97"/>
    <mergeCell ref="B90:H90"/>
    <mergeCell ref="B91:H91"/>
    <mergeCell ref="B92:C92"/>
    <mergeCell ref="B93:C93"/>
    <mergeCell ref="B94:C94"/>
    <mergeCell ref="B15:H15"/>
    <mergeCell ref="A6:H6"/>
    <mergeCell ref="A8:H8"/>
    <mergeCell ref="A11:H11"/>
    <mergeCell ref="A12:H12"/>
    <mergeCell ref="B14:C14"/>
    <mergeCell ref="A9:H9"/>
    <mergeCell ref="A10:H10"/>
    <mergeCell ref="A17:A23"/>
    <mergeCell ref="A25:A29"/>
    <mergeCell ref="A77:H77"/>
    <mergeCell ref="A70:H70"/>
    <mergeCell ref="A69:H69"/>
    <mergeCell ref="A72:A74"/>
    <mergeCell ref="A76:H76"/>
    <mergeCell ref="A36:A40"/>
    <mergeCell ref="B67:D67"/>
    <mergeCell ref="A42:A44"/>
    <mergeCell ref="A68:H68"/>
    <mergeCell ref="A59:A61"/>
    <mergeCell ref="A46:A49"/>
    <mergeCell ref="A50:A53"/>
    <mergeCell ref="B88:G88"/>
    <mergeCell ref="B81:D81"/>
    <mergeCell ref="F81:H81"/>
    <mergeCell ref="B82:D82"/>
    <mergeCell ref="A31:A33"/>
    <mergeCell ref="A54:A57"/>
    <mergeCell ref="A63:A65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2" fitToHeight="21" orientation="portrait" r:id="rId1"/>
  <headerFooter alignWithMargins="0"/>
  <rowBreaks count="1" manualBreakCount="1">
    <brk id="53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5"/>
  <sheetViews>
    <sheetView view="pageBreakPreview" topLeftCell="A16" zoomScale="90" zoomScaleNormal="100" zoomScaleSheetLayoutView="90" workbookViewId="0">
      <selection activeCell="E36" sqref="E36"/>
    </sheetView>
  </sheetViews>
  <sheetFormatPr defaultColWidth="8.85546875" defaultRowHeight="15.75" x14ac:dyDescent="0.2"/>
  <cols>
    <col min="1" max="1" width="5" style="446" customWidth="1"/>
    <col min="2" max="2" width="10.5703125" style="446" customWidth="1"/>
    <col min="3" max="3" width="8.85546875" style="446" customWidth="1"/>
    <col min="4" max="4" width="12" style="446" customWidth="1"/>
    <col min="5" max="5" width="13.5703125" style="446" customWidth="1"/>
    <col min="6" max="6" width="12" style="446" customWidth="1"/>
    <col min="7" max="7" width="14.140625" style="446" customWidth="1"/>
    <col min="8" max="8" width="11" style="446" customWidth="1"/>
    <col min="9" max="9" width="11.5703125" style="446" customWidth="1"/>
    <col min="10" max="10" width="13" style="446" customWidth="1"/>
    <col min="11" max="11" width="14.7109375" style="446" customWidth="1"/>
    <col min="12" max="256" width="8.85546875" style="446"/>
    <col min="257" max="257" width="5" style="446" customWidth="1"/>
    <col min="258" max="258" width="10.5703125" style="446" customWidth="1"/>
    <col min="259" max="259" width="8.85546875" style="446" customWidth="1"/>
    <col min="260" max="260" width="12" style="446" customWidth="1"/>
    <col min="261" max="261" width="13.5703125" style="446" customWidth="1"/>
    <col min="262" max="262" width="12" style="446" customWidth="1"/>
    <col min="263" max="263" width="14.140625" style="446" customWidth="1"/>
    <col min="264" max="264" width="11" style="446" customWidth="1"/>
    <col min="265" max="265" width="11.5703125" style="446" customWidth="1"/>
    <col min="266" max="266" width="13" style="446" customWidth="1"/>
    <col min="267" max="267" width="14.7109375" style="446" customWidth="1"/>
    <col min="268" max="512" width="8.85546875" style="446"/>
    <col min="513" max="513" width="5" style="446" customWidth="1"/>
    <col min="514" max="514" width="10.5703125" style="446" customWidth="1"/>
    <col min="515" max="515" width="8.85546875" style="446" customWidth="1"/>
    <col min="516" max="516" width="12" style="446" customWidth="1"/>
    <col min="517" max="517" width="13.5703125" style="446" customWidth="1"/>
    <col min="518" max="518" width="12" style="446" customWidth="1"/>
    <col min="519" max="519" width="14.140625" style="446" customWidth="1"/>
    <col min="520" max="520" width="11" style="446" customWidth="1"/>
    <col min="521" max="521" width="11.5703125" style="446" customWidth="1"/>
    <col min="522" max="522" width="13" style="446" customWidth="1"/>
    <col min="523" max="523" width="14.7109375" style="446" customWidth="1"/>
    <col min="524" max="768" width="8.85546875" style="446"/>
    <col min="769" max="769" width="5" style="446" customWidth="1"/>
    <col min="770" max="770" width="10.5703125" style="446" customWidth="1"/>
    <col min="771" max="771" width="8.85546875" style="446" customWidth="1"/>
    <col min="772" max="772" width="12" style="446" customWidth="1"/>
    <col min="773" max="773" width="13.5703125" style="446" customWidth="1"/>
    <col min="774" max="774" width="12" style="446" customWidth="1"/>
    <col min="775" max="775" width="14.140625" style="446" customWidth="1"/>
    <col min="776" max="776" width="11" style="446" customWidth="1"/>
    <col min="777" max="777" width="11.5703125" style="446" customWidth="1"/>
    <col min="778" max="778" width="13" style="446" customWidth="1"/>
    <col min="779" max="779" width="14.7109375" style="446" customWidth="1"/>
    <col min="780" max="1024" width="8.85546875" style="446"/>
    <col min="1025" max="1025" width="5" style="446" customWidth="1"/>
    <col min="1026" max="1026" width="10.5703125" style="446" customWidth="1"/>
    <col min="1027" max="1027" width="8.85546875" style="446" customWidth="1"/>
    <col min="1028" max="1028" width="12" style="446" customWidth="1"/>
    <col min="1029" max="1029" width="13.5703125" style="446" customWidth="1"/>
    <col min="1030" max="1030" width="12" style="446" customWidth="1"/>
    <col min="1031" max="1031" width="14.140625" style="446" customWidth="1"/>
    <col min="1032" max="1032" width="11" style="446" customWidth="1"/>
    <col min="1033" max="1033" width="11.5703125" style="446" customWidth="1"/>
    <col min="1034" max="1034" width="13" style="446" customWidth="1"/>
    <col min="1035" max="1035" width="14.7109375" style="446" customWidth="1"/>
    <col min="1036" max="1280" width="8.85546875" style="446"/>
    <col min="1281" max="1281" width="5" style="446" customWidth="1"/>
    <col min="1282" max="1282" width="10.5703125" style="446" customWidth="1"/>
    <col min="1283" max="1283" width="8.85546875" style="446" customWidth="1"/>
    <col min="1284" max="1284" width="12" style="446" customWidth="1"/>
    <col min="1285" max="1285" width="13.5703125" style="446" customWidth="1"/>
    <col min="1286" max="1286" width="12" style="446" customWidth="1"/>
    <col min="1287" max="1287" width="14.140625" style="446" customWidth="1"/>
    <col min="1288" max="1288" width="11" style="446" customWidth="1"/>
    <col min="1289" max="1289" width="11.5703125" style="446" customWidth="1"/>
    <col min="1290" max="1290" width="13" style="446" customWidth="1"/>
    <col min="1291" max="1291" width="14.7109375" style="446" customWidth="1"/>
    <col min="1292" max="1536" width="8.85546875" style="446"/>
    <col min="1537" max="1537" width="5" style="446" customWidth="1"/>
    <col min="1538" max="1538" width="10.5703125" style="446" customWidth="1"/>
    <col min="1539" max="1539" width="8.85546875" style="446" customWidth="1"/>
    <col min="1540" max="1540" width="12" style="446" customWidth="1"/>
    <col min="1541" max="1541" width="13.5703125" style="446" customWidth="1"/>
    <col min="1542" max="1542" width="12" style="446" customWidth="1"/>
    <col min="1543" max="1543" width="14.140625" style="446" customWidth="1"/>
    <col min="1544" max="1544" width="11" style="446" customWidth="1"/>
    <col min="1545" max="1545" width="11.5703125" style="446" customWidth="1"/>
    <col min="1546" max="1546" width="13" style="446" customWidth="1"/>
    <col min="1547" max="1547" width="14.7109375" style="446" customWidth="1"/>
    <col min="1548" max="1792" width="8.85546875" style="446"/>
    <col min="1793" max="1793" width="5" style="446" customWidth="1"/>
    <col min="1794" max="1794" width="10.5703125" style="446" customWidth="1"/>
    <col min="1795" max="1795" width="8.85546875" style="446" customWidth="1"/>
    <col min="1796" max="1796" width="12" style="446" customWidth="1"/>
    <col min="1797" max="1797" width="13.5703125" style="446" customWidth="1"/>
    <col min="1798" max="1798" width="12" style="446" customWidth="1"/>
    <col min="1799" max="1799" width="14.140625" style="446" customWidth="1"/>
    <col min="1800" max="1800" width="11" style="446" customWidth="1"/>
    <col min="1801" max="1801" width="11.5703125" style="446" customWidth="1"/>
    <col min="1802" max="1802" width="13" style="446" customWidth="1"/>
    <col min="1803" max="1803" width="14.7109375" style="446" customWidth="1"/>
    <col min="1804" max="2048" width="8.85546875" style="446"/>
    <col min="2049" max="2049" width="5" style="446" customWidth="1"/>
    <col min="2050" max="2050" width="10.5703125" style="446" customWidth="1"/>
    <col min="2051" max="2051" width="8.85546875" style="446" customWidth="1"/>
    <col min="2052" max="2052" width="12" style="446" customWidth="1"/>
    <col min="2053" max="2053" width="13.5703125" style="446" customWidth="1"/>
    <col min="2054" max="2054" width="12" style="446" customWidth="1"/>
    <col min="2055" max="2055" width="14.140625" style="446" customWidth="1"/>
    <col min="2056" max="2056" width="11" style="446" customWidth="1"/>
    <col min="2057" max="2057" width="11.5703125" style="446" customWidth="1"/>
    <col min="2058" max="2058" width="13" style="446" customWidth="1"/>
    <col min="2059" max="2059" width="14.7109375" style="446" customWidth="1"/>
    <col min="2060" max="2304" width="8.85546875" style="446"/>
    <col min="2305" max="2305" width="5" style="446" customWidth="1"/>
    <col min="2306" max="2306" width="10.5703125" style="446" customWidth="1"/>
    <col min="2307" max="2307" width="8.85546875" style="446" customWidth="1"/>
    <col min="2308" max="2308" width="12" style="446" customWidth="1"/>
    <col min="2309" max="2309" width="13.5703125" style="446" customWidth="1"/>
    <col min="2310" max="2310" width="12" style="446" customWidth="1"/>
    <col min="2311" max="2311" width="14.140625" style="446" customWidth="1"/>
    <col min="2312" max="2312" width="11" style="446" customWidth="1"/>
    <col min="2313" max="2313" width="11.5703125" style="446" customWidth="1"/>
    <col min="2314" max="2314" width="13" style="446" customWidth="1"/>
    <col min="2315" max="2315" width="14.7109375" style="446" customWidth="1"/>
    <col min="2316" max="2560" width="8.85546875" style="446"/>
    <col min="2561" max="2561" width="5" style="446" customWidth="1"/>
    <col min="2562" max="2562" width="10.5703125" style="446" customWidth="1"/>
    <col min="2563" max="2563" width="8.85546875" style="446" customWidth="1"/>
    <col min="2564" max="2564" width="12" style="446" customWidth="1"/>
    <col min="2565" max="2565" width="13.5703125" style="446" customWidth="1"/>
    <col min="2566" max="2566" width="12" style="446" customWidth="1"/>
    <col min="2567" max="2567" width="14.140625" style="446" customWidth="1"/>
    <col min="2568" max="2568" width="11" style="446" customWidth="1"/>
    <col min="2569" max="2569" width="11.5703125" style="446" customWidth="1"/>
    <col min="2570" max="2570" width="13" style="446" customWidth="1"/>
    <col min="2571" max="2571" width="14.7109375" style="446" customWidth="1"/>
    <col min="2572" max="2816" width="8.85546875" style="446"/>
    <col min="2817" max="2817" width="5" style="446" customWidth="1"/>
    <col min="2818" max="2818" width="10.5703125" style="446" customWidth="1"/>
    <col min="2819" max="2819" width="8.85546875" style="446" customWidth="1"/>
    <col min="2820" max="2820" width="12" style="446" customWidth="1"/>
    <col min="2821" max="2821" width="13.5703125" style="446" customWidth="1"/>
    <col min="2822" max="2822" width="12" style="446" customWidth="1"/>
    <col min="2823" max="2823" width="14.140625" style="446" customWidth="1"/>
    <col min="2824" max="2824" width="11" style="446" customWidth="1"/>
    <col min="2825" max="2825" width="11.5703125" style="446" customWidth="1"/>
    <col min="2826" max="2826" width="13" style="446" customWidth="1"/>
    <col min="2827" max="2827" width="14.7109375" style="446" customWidth="1"/>
    <col min="2828" max="3072" width="8.85546875" style="446"/>
    <col min="3073" max="3073" width="5" style="446" customWidth="1"/>
    <col min="3074" max="3074" width="10.5703125" style="446" customWidth="1"/>
    <col min="3075" max="3075" width="8.85546875" style="446" customWidth="1"/>
    <col min="3076" max="3076" width="12" style="446" customWidth="1"/>
    <col min="3077" max="3077" width="13.5703125" style="446" customWidth="1"/>
    <col min="3078" max="3078" width="12" style="446" customWidth="1"/>
    <col min="3079" max="3079" width="14.140625" style="446" customWidth="1"/>
    <col min="3080" max="3080" width="11" style="446" customWidth="1"/>
    <col min="3081" max="3081" width="11.5703125" style="446" customWidth="1"/>
    <col min="3082" max="3082" width="13" style="446" customWidth="1"/>
    <col min="3083" max="3083" width="14.7109375" style="446" customWidth="1"/>
    <col min="3084" max="3328" width="8.85546875" style="446"/>
    <col min="3329" max="3329" width="5" style="446" customWidth="1"/>
    <col min="3330" max="3330" width="10.5703125" style="446" customWidth="1"/>
    <col min="3331" max="3331" width="8.85546875" style="446" customWidth="1"/>
    <col min="3332" max="3332" width="12" style="446" customWidth="1"/>
    <col min="3333" max="3333" width="13.5703125" style="446" customWidth="1"/>
    <col min="3334" max="3334" width="12" style="446" customWidth="1"/>
    <col min="3335" max="3335" width="14.140625" style="446" customWidth="1"/>
    <col min="3336" max="3336" width="11" style="446" customWidth="1"/>
    <col min="3337" max="3337" width="11.5703125" style="446" customWidth="1"/>
    <col min="3338" max="3338" width="13" style="446" customWidth="1"/>
    <col min="3339" max="3339" width="14.7109375" style="446" customWidth="1"/>
    <col min="3340" max="3584" width="8.85546875" style="446"/>
    <col min="3585" max="3585" width="5" style="446" customWidth="1"/>
    <col min="3586" max="3586" width="10.5703125" style="446" customWidth="1"/>
    <col min="3587" max="3587" width="8.85546875" style="446" customWidth="1"/>
    <col min="3588" max="3588" width="12" style="446" customWidth="1"/>
    <col min="3589" max="3589" width="13.5703125" style="446" customWidth="1"/>
    <col min="3590" max="3590" width="12" style="446" customWidth="1"/>
    <col min="3591" max="3591" width="14.140625" style="446" customWidth="1"/>
    <col min="3592" max="3592" width="11" style="446" customWidth="1"/>
    <col min="3593" max="3593" width="11.5703125" style="446" customWidth="1"/>
    <col min="3594" max="3594" width="13" style="446" customWidth="1"/>
    <col min="3595" max="3595" width="14.7109375" style="446" customWidth="1"/>
    <col min="3596" max="3840" width="8.85546875" style="446"/>
    <col min="3841" max="3841" width="5" style="446" customWidth="1"/>
    <col min="3842" max="3842" width="10.5703125" style="446" customWidth="1"/>
    <col min="3843" max="3843" width="8.85546875" style="446" customWidth="1"/>
    <col min="3844" max="3844" width="12" style="446" customWidth="1"/>
    <col min="3845" max="3845" width="13.5703125" style="446" customWidth="1"/>
    <col min="3846" max="3846" width="12" style="446" customWidth="1"/>
    <col min="3847" max="3847" width="14.140625" style="446" customWidth="1"/>
    <col min="3848" max="3848" width="11" style="446" customWidth="1"/>
    <col min="3849" max="3849" width="11.5703125" style="446" customWidth="1"/>
    <col min="3850" max="3850" width="13" style="446" customWidth="1"/>
    <col min="3851" max="3851" width="14.7109375" style="446" customWidth="1"/>
    <col min="3852" max="4096" width="8.85546875" style="446"/>
    <col min="4097" max="4097" width="5" style="446" customWidth="1"/>
    <col min="4098" max="4098" width="10.5703125" style="446" customWidth="1"/>
    <col min="4099" max="4099" width="8.85546875" style="446" customWidth="1"/>
    <col min="4100" max="4100" width="12" style="446" customWidth="1"/>
    <col min="4101" max="4101" width="13.5703125" style="446" customWidth="1"/>
    <col min="4102" max="4102" width="12" style="446" customWidth="1"/>
    <col min="4103" max="4103" width="14.140625" style="446" customWidth="1"/>
    <col min="4104" max="4104" width="11" style="446" customWidth="1"/>
    <col min="4105" max="4105" width="11.5703125" style="446" customWidth="1"/>
    <col min="4106" max="4106" width="13" style="446" customWidth="1"/>
    <col min="4107" max="4107" width="14.7109375" style="446" customWidth="1"/>
    <col min="4108" max="4352" width="8.85546875" style="446"/>
    <col min="4353" max="4353" width="5" style="446" customWidth="1"/>
    <col min="4354" max="4354" width="10.5703125" style="446" customWidth="1"/>
    <col min="4355" max="4355" width="8.85546875" style="446" customWidth="1"/>
    <col min="4356" max="4356" width="12" style="446" customWidth="1"/>
    <col min="4357" max="4357" width="13.5703125" style="446" customWidth="1"/>
    <col min="4358" max="4358" width="12" style="446" customWidth="1"/>
    <col min="4359" max="4359" width="14.140625" style="446" customWidth="1"/>
    <col min="4360" max="4360" width="11" style="446" customWidth="1"/>
    <col min="4361" max="4361" width="11.5703125" style="446" customWidth="1"/>
    <col min="4362" max="4362" width="13" style="446" customWidth="1"/>
    <col min="4363" max="4363" width="14.7109375" style="446" customWidth="1"/>
    <col min="4364" max="4608" width="8.85546875" style="446"/>
    <col min="4609" max="4609" width="5" style="446" customWidth="1"/>
    <col min="4610" max="4610" width="10.5703125" style="446" customWidth="1"/>
    <col min="4611" max="4611" width="8.85546875" style="446" customWidth="1"/>
    <col min="4612" max="4612" width="12" style="446" customWidth="1"/>
    <col min="4613" max="4613" width="13.5703125" style="446" customWidth="1"/>
    <col min="4614" max="4614" width="12" style="446" customWidth="1"/>
    <col min="4615" max="4615" width="14.140625" style="446" customWidth="1"/>
    <col min="4616" max="4616" width="11" style="446" customWidth="1"/>
    <col min="4617" max="4617" width="11.5703125" style="446" customWidth="1"/>
    <col min="4618" max="4618" width="13" style="446" customWidth="1"/>
    <col min="4619" max="4619" width="14.7109375" style="446" customWidth="1"/>
    <col min="4620" max="4864" width="8.85546875" style="446"/>
    <col min="4865" max="4865" width="5" style="446" customWidth="1"/>
    <col min="4866" max="4866" width="10.5703125" style="446" customWidth="1"/>
    <col min="4867" max="4867" width="8.85546875" style="446" customWidth="1"/>
    <col min="4868" max="4868" width="12" style="446" customWidth="1"/>
    <col min="4869" max="4869" width="13.5703125" style="446" customWidth="1"/>
    <col min="4870" max="4870" width="12" style="446" customWidth="1"/>
    <col min="4871" max="4871" width="14.140625" style="446" customWidth="1"/>
    <col min="4872" max="4872" width="11" style="446" customWidth="1"/>
    <col min="4873" max="4873" width="11.5703125" style="446" customWidth="1"/>
    <col min="4874" max="4874" width="13" style="446" customWidth="1"/>
    <col min="4875" max="4875" width="14.7109375" style="446" customWidth="1"/>
    <col min="4876" max="5120" width="8.85546875" style="446"/>
    <col min="5121" max="5121" width="5" style="446" customWidth="1"/>
    <col min="5122" max="5122" width="10.5703125" style="446" customWidth="1"/>
    <col min="5123" max="5123" width="8.85546875" style="446" customWidth="1"/>
    <col min="5124" max="5124" width="12" style="446" customWidth="1"/>
    <col min="5125" max="5125" width="13.5703125" style="446" customWidth="1"/>
    <col min="5126" max="5126" width="12" style="446" customWidth="1"/>
    <col min="5127" max="5127" width="14.140625" style="446" customWidth="1"/>
    <col min="5128" max="5128" width="11" style="446" customWidth="1"/>
    <col min="5129" max="5129" width="11.5703125" style="446" customWidth="1"/>
    <col min="5130" max="5130" width="13" style="446" customWidth="1"/>
    <col min="5131" max="5131" width="14.7109375" style="446" customWidth="1"/>
    <col min="5132" max="5376" width="8.85546875" style="446"/>
    <col min="5377" max="5377" width="5" style="446" customWidth="1"/>
    <col min="5378" max="5378" width="10.5703125" style="446" customWidth="1"/>
    <col min="5379" max="5379" width="8.85546875" style="446" customWidth="1"/>
    <col min="5380" max="5380" width="12" style="446" customWidth="1"/>
    <col min="5381" max="5381" width="13.5703125" style="446" customWidth="1"/>
    <col min="5382" max="5382" width="12" style="446" customWidth="1"/>
    <col min="5383" max="5383" width="14.140625" style="446" customWidth="1"/>
    <col min="5384" max="5384" width="11" style="446" customWidth="1"/>
    <col min="5385" max="5385" width="11.5703125" style="446" customWidth="1"/>
    <col min="5386" max="5386" width="13" style="446" customWidth="1"/>
    <col min="5387" max="5387" width="14.7109375" style="446" customWidth="1"/>
    <col min="5388" max="5632" width="8.85546875" style="446"/>
    <col min="5633" max="5633" width="5" style="446" customWidth="1"/>
    <col min="5634" max="5634" width="10.5703125" style="446" customWidth="1"/>
    <col min="5635" max="5635" width="8.85546875" style="446" customWidth="1"/>
    <col min="5636" max="5636" width="12" style="446" customWidth="1"/>
    <col min="5637" max="5637" width="13.5703125" style="446" customWidth="1"/>
    <col min="5638" max="5638" width="12" style="446" customWidth="1"/>
    <col min="5639" max="5639" width="14.140625" style="446" customWidth="1"/>
    <col min="5640" max="5640" width="11" style="446" customWidth="1"/>
    <col min="5641" max="5641" width="11.5703125" style="446" customWidth="1"/>
    <col min="5642" max="5642" width="13" style="446" customWidth="1"/>
    <col min="5643" max="5643" width="14.7109375" style="446" customWidth="1"/>
    <col min="5644" max="5888" width="8.85546875" style="446"/>
    <col min="5889" max="5889" width="5" style="446" customWidth="1"/>
    <col min="5890" max="5890" width="10.5703125" style="446" customWidth="1"/>
    <col min="5891" max="5891" width="8.85546875" style="446" customWidth="1"/>
    <col min="5892" max="5892" width="12" style="446" customWidth="1"/>
    <col min="5893" max="5893" width="13.5703125" style="446" customWidth="1"/>
    <col min="5894" max="5894" width="12" style="446" customWidth="1"/>
    <col min="5895" max="5895" width="14.140625" style="446" customWidth="1"/>
    <col min="5896" max="5896" width="11" style="446" customWidth="1"/>
    <col min="5897" max="5897" width="11.5703125" style="446" customWidth="1"/>
    <col min="5898" max="5898" width="13" style="446" customWidth="1"/>
    <col min="5899" max="5899" width="14.7109375" style="446" customWidth="1"/>
    <col min="5900" max="6144" width="8.85546875" style="446"/>
    <col min="6145" max="6145" width="5" style="446" customWidth="1"/>
    <col min="6146" max="6146" width="10.5703125" style="446" customWidth="1"/>
    <col min="6147" max="6147" width="8.85546875" style="446" customWidth="1"/>
    <col min="6148" max="6148" width="12" style="446" customWidth="1"/>
    <col min="6149" max="6149" width="13.5703125" style="446" customWidth="1"/>
    <col min="6150" max="6150" width="12" style="446" customWidth="1"/>
    <col min="6151" max="6151" width="14.140625" style="446" customWidth="1"/>
    <col min="6152" max="6152" width="11" style="446" customWidth="1"/>
    <col min="6153" max="6153" width="11.5703125" style="446" customWidth="1"/>
    <col min="6154" max="6154" width="13" style="446" customWidth="1"/>
    <col min="6155" max="6155" width="14.7109375" style="446" customWidth="1"/>
    <col min="6156" max="6400" width="8.85546875" style="446"/>
    <col min="6401" max="6401" width="5" style="446" customWidth="1"/>
    <col min="6402" max="6402" width="10.5703125" style="446" customWidth="1"/>
    <col min="6403" max="6403" width="8.85546875" style="446" customWidth="1"/>
    <col min="6404" max="6404" width="12" style="446" customWidth="1"/>
    <col min="6405" max="6405" width="13.5703125" style="446" customWidth="1"/>
    <col min="6406" max="6406" width="12" style="446" customWidth="1"/>
    <col min="6407" max="6407" width="14.140625" style="446" customWidth="1"/>
    <col min="6408" max="6408" width="11" style="446" customWidth="1"/>
    <col min="6409" max="6409" width="11.5703125" style="446" customWidth="1"/>
    <col min="6410" max="6410" width="13" style="446" customWidth="1"/>
    <col min="6411" max="6411" width="14.7109375" style="446" customWidth="1"/>
    <col min="6412" max="6656" width="8.85546875" style="446"/>
    <col min="6657" max="6657" width="5" style="446" customWidth="1"/>
    <col min="6658" max="6658" width="10.5703125" style="446" customWidth="1"/>
    <col min="6659" max="6659" width="8.85546875" style="446" customWidth="1"/>
    <col min="6660" max="6660" width="12" style="446" customWidth="1"/>
    <col min="6661" max="6661" width="13.5703125" style="446" customWidth="1"/>
    <col min="6662" max="6662" width="12" style="446" customWidth="1"/>
    <col min="6663" max="6663" width="14.140625" style="446" customWidth="1"/>
    <col min="6664" max="6664" width="11" style="446" customWidth="1"/>
    <col min="6665" max="6665" width="11.5703125" style="446" customWidth="1"/>
    <col min="6666" max="6666" width="13" style="446" customWidth="1"/>
    <col min="6667" max="6667" width="14.7109375" style="446" customWidth="1"/>
    <col min="6668" max="6912" width="8.85546875" style="446"/>
    <col min="6913" max="6913" width="5" style="446" customWidth="1"/>
    <col min="6914" max="6914" width="10.5703125" style="446" customWidth="1"/>
    <col min="6915" max="6915" width="8.85546875" style="446" customWidth="1"/>
    <col min="6916" max="6916" width="12" style="446" customWidth="1"/>
    <col min="6917" max="6917" width="13.5703125" style="446" customWidth="1"/>
    <col min="6918" max="6918" width="12" style="446" customWidth="1"/>
    <col min="6919" max="6919" width="14.140625" style="446" customWidth="1"/>
    <col min="6920" max="6920" width="11" style="446" customWidth="1"/>
    <col min="6921" max="6921" width="11.5703125" style="446" customWidth="1"/>
    <col min="6922" max="6922" width="13" style="446" customWidth="1"/>
    <col min="6923" max="6923" width="14.7109375" style="446" customWidth="1"/>
    <col min="6924" max="7168" width="8.85546875" style="446"/>
    <col min="7169" max="7169" width="5" style="446" customWidth="1"/>
    <col min="7170" max="7170" width="10.5703125" style="446" customWidth="1"/>
    <col min="7171" max="7171" width="8.85546875" style="446" customWidth="1"/>
    <col min="7172" max="7172" width="12" style="446" customWidth="1"/>
    <col min="7173" max="7173" width="13.5703125" style="446" customWidth="1"/>
    <col min="7174" max="7174" width="12" style="446" customWidth="1"/>
    <col min="7175" max="7175" width="14.140625" style="446" customWidth="1"/>
    <col min="7176" max="7176" width="11" style="446" customWidth="1"/>
    <col min="7177" max="7177" width="11.5703125" style="446" customWidth="1"/>
    <col min="7178" max="7178" width="13" style="446" customWidth="1"/>
    <col min="7179" max="7179" width="14.7109375" style="446" customWidth="1"/>
    <col min="7180" max="7424" width="8.85546875" style="446"/>
    <col min="7425" max="7425" width="5" style="446" customWidth="1"/>
    <col min="7426" max="7426" width="10.5703125" style="446" customWidth="1"/>
    <col min="7427" max="7427" width="8.85546875" style="446" customWidth="1"/>
    <col min="7428" max="7428" width="12" style="446" customWidth="1"/>
    <col min="7429" max="7429" width="13.5703125" style="446" customWidth="1"/>
    <col min="7430" max="7430" width="12" style="446" customWidth="1"/>
    <col min="7431" max="7431" width="14.140625" style="446" customWidth="1"/>
    <col min="7432" max="7432" width="11" style="446" customWidth="1"/>
    <col min="7433" max="7433" width="11.5703125" style="446" customWidth="1"/>
    <col min="7434" max="7434" width="13" style="446" customWidth="1"/>
    <col min="7435" max="7435" width="14.7109375" style="446" customWidth="1"/>
    <col min="7436" max="7680" width="8.85546875" style="446"/>
    <col min="7681" max="7681" width="5" style="446" customWidth="1"/>
    <col min="7682" max="7682" width="10.5703125" style="446" customWidth="1"/>
    <col min="7683" max="7683" width="8.85546875" style="446" customWidth="1"/>
    <col min="7684" max="7684" width="12" style="446" customWidth="1"/>
    <col min="7685" max="7685" width="13.5703125" style="446" customWidth="1"/>
    <col min="7686" max="7686" width="12" style="446" customWidth="1"/>
    <col min="7687" max="7687" width="14.140625" style="446" customWidth="1"/>
    <col min="7688" max="7688" width="11" style="446" customWidth="1"/>
    <col min="7689" max="7689" width="11.5703125" style="446" customWidth="1"/>
    <col min="7690" max="7690" width="13" style="446" customWidth="1"/>
    <col min="7691" max="7691" width="14.7109375" style="446" customWidth="1"/>
    <col min="7692" max="7936" width="8.85546875" style="446"/>
    <col min="7937" max="7937" width="5" style="446" customWidth="1"/>
    <col min="7938" max="7938" width="10.5703125" style="446" customWidth="1"/>
    <col min="7939" max="7939" width="8.85546875" style="446" customWidth="1"/>
    <col min="7940" max="7940" width="12" style="446" customWidth="1"/>
    <col min="7941" max="7941" width="13.5703125" style="446" customWidth="1"/>
    <col min="7942" max="7942" width="12" style="446" customWidth="1"/>
    <col min="7943" max="7943" width="14.140625" style="446" customWidth="1"/>
    <col min="7944" max="7944" width="11" style="446" customWidth="1"/>
    <col min="7945" max="7945" width="11.5703125" style="446" customWidth="1"/>
    <col min="7946" max="7946" width="13" style="446" customWidth="1"/>
    <col min="7947" max="7947" width="14.7109375" style="446" customWidth="1"/>
    <col min="7948" max="8192" width="8.85546875" style="446"/>
    <col min="8193" max="8193" width="5" style="446" customWidth="1"/>
    <col min="8194" max="8194" width="10.5703125" style="446" customWidth="1"/>
    <col min="8195" max="8195" width="8.85546875" style="446" customWidth="1"/>
    <col min="8196" max="8196" width="12" style="446" customWidth="1"/>
    <col min="8197" max="8197" width="13.5703125" style="446" customWidth="1"/>
    <col min="8198" max="8198" width="12" style="446" customWidth="1"/>
    <col min="8199" max="8199" width="14.140625" style="446" customWidth="1"/>
    <col min="8200" max="8200" width="11" style="446" customWidth="1"/>
    <col min="8201" max="8201" width="11.5703125" style="446" customWidth="1"/>
    <col min="8202" max="8202" width="13" style="446" customWidth="1"/>
    <col min="8203" max="8203" width="14.7109375" style="446" customWidth="1"/>
    <col min="8204" max="8448" width="8.85546875" style="446"/>
    <col min="8449" max="8449" width="5" style="446" customWidth="1"/>
    <col min="8450" max="8450" width="10.5703125" style="446" customWidth="1"/>
    <col min="8451" max="8451" width="8.85546875" style="446" customWidth="1"/>
    <col min="8452" max="8452" width="12" style="446" customWidth="1"/>
    <col min="8453" max="8453" width="13.5703125" style="446" customWidth="1"/>
    <col min="8454" max="8454" width="12" style="446" customWidth="1"/>
    <col min="8455" max="8455" width="14.140625" style="446" customWidth="1"/>
    <col min="8456" max="8456" width="11" style="446" customWidth="1"/>
    <col min="8457" max="8457" width="11.5703125" style="446" customWidth="1"/>
    <col min="8458" max="8458" width="13" style="446" customWidth="1"/>
    <col min="8459" max="8459" width="14.7109375" style="446" customWidth="1"/>
    <col min="8460" max="8704" width="8.85546875" style="446"/>
    <col min="8705" max="8705" width="5" style="446" customWidth="1"/>
    <col min="8706" max="8706" width="10.5703125" style="446" customWidth="1"/>
    <col min="8707" max="8707" width="8.85546875" style="446" customWidth="1"/>
    <col min="8708" max="8708" width="12" style="446" customWidth="1"/>
    <col min="8709" max="8709" width="13.5703125" style="446" customWidth="1"/>
    <col min="8710" max="8710" width="12" style="446" customWidth="1"/>
    <col min="8711" max="8711" width="14.140625" style="446" customWidth="1"/>
    <col min="8712" max="8712" width="11" style="446" customWidth="1"/>
    <col min="8713" max="8713" width="11.5703125" style="446" customWidth="1"/>
    <col min="8714" max="8714" width="13" style="446" customWidth="1"/>
    <col min="8715" max="8715" width="14.7109375" style="446" customWidth="1"/>
    <col min="8716" max="8960" width="8.85546875" style="446"/>
    <col min="8961" max="8961" width="5" style="446" customWidth="1"/>
    <col min="8962" max="8962" width="10.5703125" style="446" customWidth="1"/>
    <col min="8963" max="8963" width="8.85546875" style="446" customWidth="1"/>
    <col min="8964" max="8964" width="12" style="446" customWidth="1"/>
    <col min="8965" max="8965" width="13.5703125" style="446" customWidth="1"/>
    <col min="8966" max="8966" width="12" style="446" customWidth="1"/>
    <col min="8967" max="8967" width="14.140625" style="446" customWidth="1"/>
    <col min="8968" max="8968" width="11" style="446" customWidth="1"/>
    <col min="8969" max="8969" width="11.5703125" style="446" customWidth="1"/>
    <col min="8970" max="8970" width="13" style="446" customWidth="1"/>
    <col min="8971" max="8971" width="14.7109375" style="446" customWidth="1"/>
    <col min="8972" max="9216" width="8.85546875" style="446"/>
    <col min="9217" max="9217" width="5" style="446" customWidth="1"/>
    <col min="9218" max="9218" width="10.5703125" style="446" customWidth="1"/>
    <col min="9219" max="9219" width="8.85546875" style="446" customWidth="1"/>
    <col min="9220" max="9220" width="12" style="446" customWidth="1"/>
    <col min="9221" max="9221" width="13.5703125" style="446" customWidth="1"/>
    <col min="9222" max="9222" width="12" style="446" customWidth="1"/>
    <col min="9223" max="9223" width="14.140625" style="446" customWidth="1"/>
    <col min="9224" max="9224" width="11" style="446" customWidth="1"/>
    <col min="9225" max="9225" width="11.5703125" style="446" customWidth="1"/>
    <col min="9226" max="9226" width="13" style="446" customWidth="1"/>
    <col min="9227" max="9227" width="14.7109375" style="446" customWidth="1"/>
    <col min="9228" max="9472" width="8.85546875" style="446"/>
    <col min="9473" max="9473" width="5" style="446" customWidth="1"/>
    <col min="9474" max="9474" width="10.5703125" style="446" customWidth="1"/>
    <col min="9475" max="9475" width="8.85546875" style="446" customWidth="1"/>
    <col min="9476" max="9476" width="12" style="446" customWidth="1"/>
    <col min="9477" max="9477" width="13.5703125" style="446" customWidth="1"/>
    <col min="9478" max="9478" width="12" style="446" customWidth="1"/>
    <col min="9479" max="9479" width="14.140625" style="446" customWidth="1"/>
    <col min="9480" max="9480" width="11" style="446" customWidth="1"/>
    <col min="9481" max="9481" width="11.5703125" style="446" customWidth="1"/>
    <col min="9482" max="9482" width="13" style="446" customWidth="1"/>
    <col min="9483" max="9483" width="14.7109375" style="446" customWidth="1"/>
    <col min="9484" max="9728" width="8.85546875" style="446"/>
    <col min="9729" max="9729" width="5" style="446" customWidth="1"/>
    <col min="9730" max="9730" width="10.5703125" style="446" customWidth="1"/>
    <col min="9731" max="9731" width="8.85546875" style="446" customWidth="1"/>
    <col min="9732" max="9732" width="12" style="446" customWidth="1"/>
    <col min="9733" max="9733" width="13.5703125" style="446" customWidth="1"/>
    <col min="9734" max="9734" width="12" style="446" customWidth="1"/>
    <col min="9735" max="9735" width="14.140625" style="446" customWidth="1"/>
    <col min="9736" max="9736" width="11" style="446" customWidth="1"/>
    <col min="9737" max="9737" width="11.5703125" style="446" customWidth="1"/>
    <col min="9738" max="9738" width="13" style="446" customWidth="1"/>
    <col min="9739" max="9739" width="14.7109375" style="446" customWidth="1"/>
    <col min="9740" max="9984" width="8.85546875" style="446"/>
    <col min="9985" max="9985" width="5" style="446" customWidth="1"/>
    <col min="9986" max="9986" width="10.5703125" style="446" customWidth="1"/>
    <col min="9987" max="9987" width="8.85546875" style="446" customWidth="1"/>
    <col min="9988" max="9988" width="12" style="446" customWidth="1"/>
    <col min="9989" max="9989" width="13.5703125" style="446" customWidth="1"/>
    <col min="9990" max="9990" width="12" style="446" customWidth="1"/>
    <col min="9991" max="9991" width="14.140625" style="446" customWidth="1"/>
    <col min="9992" max="9992" width="11" style="446" customWidth="1"/>
    <col min="9993" max="9993" width="11.5703125" style="446" customWidth="1"/>
    <col min="9994" max="9994" width="13" style="446" customWidth="1"/>
    <col min="9995" max="9995" width="14.7109375" style="446" customWidth="1"/>
    <col min="9996" max="10240" width="8.85546875" style="446"/>
    <col min="10241" max="10241" width="5" style="446" customWidth="1"/>
    <col min="10242" max="10242" width="10.5703125" style="446" customWidth="1"/>
    <col min="10243" max="10243" width="8.85546875" style="446" customWidth="1"/>
    <col min="10244" max="10244" width="12" style="446" customWidth="1"/>
    <col min="10245" max="10245" width="13.5703125" style="446" customWidth="1"/>
    <col min="10246" max="10246" width="12" style="446" customWidth="1"/>
    <col min="10247" max="10247" width="14.140625" style="446" customWidth="1"/>
    <col min="10248" max="10248" width="11" style="446" customWidth="1"/>
    <col min="10249" max="10249" width="11.5703125" style="446" customWidth="1"/>
    <col min="10250" max="10250" width="13" style="446" customWidth="1"/>
    <col min="10251" max="10251" width="14.7109375" style="446" customWidth="1"/>
    <col min="10252" max="10496" width="8.85546875" style="446"/>
    <col min="10497" max="10497" width="5" style="446" customWidth="1"/>
    <col min="10498" max="10498" width="10.5703125" style="446" customWidth="1"/>
    <col min="10499" max="10499" width="8.85546875" style="446" customWidth="1"/>
    <col min="10500" max="10500" width="12" style="446" customWidth="1"/>
    <col min="10501" max="10501" width="13.5703125" style="446" customWidth="1"/>
    <col min="10502" max="10502" width="12" style="446" customWidth="1"/>
    <col min="10503" max="10503" width="14.140625" style="446" customWidth="1"/>
    <col min="10504" max="10504" width="11" style="446" customWidth="1"/>
    <col min="10505" max="10505" width="11.5703125" style="446" customWidth="1"/>
    <col min="10506" max="10506" width="13" style="446" customWidth="1"/>
    <col min="10507" max="10507" width="14.7109375" style="446" customWidth="1"/>
    <col min="10508" max="10752" width="8.85546875" style="446"/>
    <col min="10753" max="10753" width="5" style="446" customWidth="1"/>
    <col min="10754" max="10754" width="10.5703125" style="446" customWidth="1"/>
    <col min="10755" max="10755" width="8.85546875" style="446" customWidth="1"/>
    <col min="10756" max="10756" width="12" style="446" customWidth="1"/>
    <col min="10757" max="10757" width="13.5703125" style="446" customWidth="1"/>
    <col min="10758" max="10758" width="12" style="446" customWidth="1"/>
    <col min="10759" max="10759" width="14.140625" style="446" customWidth="1"/>
    <col min="10760" max="10760" width="11" style="446" customWidth="1"/>
    <col min="10761" max="10761" width="11.5703125" style="446" customWidth="1"/>
    <col min="10762" max="10762" width="13" style="446" customWidth="1"/>
    <col min="10763" max="10763" width="14.7109375" style="446" customWidth="1"/>
    <col min="10764" max="11008" width="8.85546875" style="446"/>
    <col min="11009" max="11009" width="5" style="446" customWidth="1"/>
    <col min="11010" max="11010" width="10.5703125" style="446" customWidth="1"/>
    <col min="11011" max="11011" width="8.85546875" style="446" customWidth="1"/>
    <col min="11012" max="11012" width="12" style="446" customWidth="1"/>
    <col min="11013" max="11013" width="13.5703125" style="446" customWidth="1"/>
    <col min="11014" max="11014" width="12" style="446" customWidth="1"/>
    <col min="11015" max="11015" width="14.140625" style="446" customWidth="1"/>
    <col min="11016" max="11016" width="11" style="446" customWidth="1"/>
    <col min="11017" max="11017" width="11.5703125" style="446" customWidth="1"/>
    <col min="11018" max="11018" width="13" style="446" customWidth="1"/>
    <col min="11019" max="11019" width="14.7109375" style="446" customWidth="1"/>
    <col min="11020" max="11264" width="8.85546875" style="446"/>
    <col min="11265" max="11265" width="5" style="446" customWidth="1"/>
    <col min="11266" max="11266" width="10.5703125" style="446" customWidth="1"/>
    <col min="11267" max="11267" width="8.85546875" style="446" customWidth="1"/>
    <col min="11268" max="11268" width="12" style="446" customWidth="1"/>
    <col min="11269" max="11269" width="13.5703125" style="446" customWidth="1"/>
    <col min="11270" max="11270" width="12" style="446" customWidth="1"/>
    <col min="11271" max="11271" width="14.140625" style="446" customWidth="1"/>
    <col min="11272" max="11272" width="11" style="446" customWidth="1"/>
    <col min="11273" max="11273" width="11.5703125" style="446" customWidth="1"/>
    <col min="11274" max="11274" width="13" style="446" customWidth="1"/>
    <col min="11275" max="11275" width="14.7109375" style="446" customWidth="1"/>
    <col min="11276" max="11520" width="8.85546875" style="446"/>
    <col min="11521" max="11521" width="5" style="446" customWidth="1"/>
    <col min="11522" max="11522" width="10.5703125" style="446" customWidth="1"/>
    <col min="11523" max="11523" width="8.85546875" style="446" customWidth="1"/>
    <col min="11524" max="11524" width="12" style="446" customWidth="1"/>
    <col min="11525" max="11525" width="13.5703125" style="446" customWidth="1"/>
    <col min="11526" max="11526" width="12" style="446" customWidth="1"/>
    <col min="11527" max="11527" width="14.140625" style="446" customWidth="1"/>
    <col min="11528" max="11528" width="11" style="446" customWidth="1"/>
    <col min="11529" max="11529" width="11.5703125" style="446" customWidth="1"/>
    <col min="11530" max="11530" width="13" style="446" customWidth="1"/>
    <col min="11531" max="11531" width="14.7109375" style="446" customWidth="1"/>
    <col min="11532" max="11776" width="8.85546875" style="446"/>
    <col min="11777" max="11777" width="5" style="446" customWidth="1"/>
    <col min="11778" max="11778" width="10.5703125" style="446" customWidth="1"/>
    <col min="11779" max="11779" width="8.85546875" style="446" customWidth="1"/>
    <col min="11780" max="11780" width="12" style="446" customWidth="1"/>
    <col min="11781" max="11781" width="13.5703125" style="446" customWidth="1"/>
    <col min="11782" max="11782" width="12" style="446" customWidth="1"/>
    <col min="11783" max="11783" width="14.140625" style="446" customWidth="1"/>
    <col min="11784" max="11784" width="11" style="446" customWidth="1"/>
    <col min="11785" max="11785" width="11.5703125" style="446" customWidth="1"/>
    <col min="11786" max="11786" width="13" style="446" customWidth="1"/>
    <col min="11787" max="11787" width="14.7109375" style="446" customWidth="1"/>
    <col min="11788" max="12032" width="8.85546875" style="446"/>
    <col min="12033" max="12033" width="5" style="446" customWidth="1"/>
    <col min="12034" max="12034" width="10.5703125" style="446" customWidth="1"/>
    <col min="12035" max="12035" width="8.85546875" style="446" customWidth="1"/>
    <col min="12036" max="12036" width="12" style="446" customWidth="1"/>
    <col min="12037" max="12037" width="13.5703125" style="446" customWidth="1"/>
    <col min="12038" max="12038" width="12" style="446" customWidth="1"/>
    <col min="12039" max="12039" width="14.140625" style="446" customWidth="1"/>
    <col min="12040" max="12040" width="11" style="446" customWidth="1"/>
    <col min="12041" max="12041" width="11.5703125" style="446" customWidth="1"/>
    <col min="12042" max="12042" width="13" style="446" customWidth="1"/>
    <col min="12043" max="12043" width="14.7109375" style="446" customWidth="1"/>
    <col min="12044" max="12288" width="8.85546875" style="446"/>
    <col min="12289" max="12289" width="5" style="446" customWidth="1"/>
    <col min="12290" max="12290" width="10.5703125" style="446" customWidth="1"/>
    <col min="12291" max="12291" width="8.85546875" style="446" customWidth="1"/>
    <col min="12292" max="12292" width="12" style="446" customWidth="1"/>
    <col min="12293" max="12293" width="13.5703125" style="446" customWidth="1"/>
    <col min="12294" max="12294" width="12" style="446" customWidth="1"/>
    <col min="12295" max="12295" width="14.140625" style="446" customWidth="1"/>
    <col min="12296" max="12296" width="11" style="446" customWidth="1"/>
    <col min="12297" max="12297" width="11.5703125" style="446" customWidth="1"/>
    <col min="12298" max="12298" width="13" style="446" customWidth="1"/>
    <col min="12299" max="12299" width="14.7109375" style="446" customWidth="1"/>
    <col min="12300" max="12544" width="8.85546875" style="446"/>
    <col min="12545" max="12545" width="5" style="446" customWidth="1"/>
    <col min="12546" max="12546" width="10.5703125" style="446" customWidth="1"/>
    <col min="12547" max="12547" width="8.85546875" style="446" customWidth="1"/>
    <col min="12548" max="12548" width="12" style="446" customWidth="1"/>
    <col min="12549" max="12549" width="13.5703125" style="446" customWidth="1"/>
    <col min="12550" max="12550" width="12" style="446" customWidth="1"/>
    <col min="12551" max="12551" width="14.140625" style="446" customWidth="1"/>
    <col min="12552" max="12552" width="11" style="446" customWidth="1"/>
    <col min="12553" max="12553" width="11.5703125" style="446" customWidth="1"/>
    <col min="12554" max="12554" width="13" style="446" customWidth="1"/>
    <col min="12555" max="12555" width="14.7109375" style="446" customWidth="1"/>
    <col min="12556" max="12800" width="8.85546875" style="446"/>
    <col min="12801" max="12801" width="5" style="446" customWidth="1"/>
    <col min="12802" max="12802" width="10.5703125" style="446" customWidth="1"/>
    <col min="12803" max="12803" width="8.85546875" style="446" customWidth="1"/>
    <col min="12804" max="12804" width="12" style="446" customWidth="1"/>
    <col min="12805" max="12805" width="13.5703125" style="446" customWidth="1"/>
    <col min="12806" max="12806" width="12" style="446" customWidth="1"/>
    <col min="12807" max="12807" width="14.140625" style="446" customWidth="1"/>
    <col min="12808" max="12808" width="11" style="446" customWidth="1"/>
    <col min="12809" max="12809" width="11.5703125" style="446" customWidth="1"/>
    <col min="12810" max="12810" width="13" style="446" customWidth="1"/>
    <col min="12811" max="12811" width="14.7109375" style="446" customWidth="1"/>
    <col min="12812" max="13056" width="8.85546875" style="446"/>
    <col min="13057" max="13057" width="5" style="446" customWidth="1"/>
    <col min="13058" max="13058" width="10.5703125" style="446" customWidth="1"/>
    <col min="13059" max="13059" width="8.85546875" style="446" customWidth="1"/>
    <col min="13060" max="13060" width="12" style="446" customWidth="1"/>
    <col min="13061" max="13061" width="13.5703125" style="446" customWidth="1"/>
    <col min="13062" max="13062" width="12" style="446" customWidth="1"/>
    <col min="13063" max="13063" width="14.140625" style="446" customWidth="1"/>
    <col min="13064" max="13064" width="11" style="446" customWidth="1"/>
    <col min="13065" max="13065" width="11.5703125" style="446" customWidth="1"/>
    <col min="13066" max="13066" width="13" style="446" customWidth="1"/>
    <col min="13067" max="13067" width="14.7109375" style="446" customWidth="1"/>
    <col min="13068" max="13312" width="8.85546875" style="446"/>
    <col min="13313" max="13313" width="5" style="446" customWidth="1"/>
    <col min="13314" max="13314" width="10.5703125" style="446" customWidth="1"/>
    <col min="13315" max="13315" width="8.85546875" style="446" customWidth="1"/>
    <col min="13316" max="13316" width="12" style="446" customWidth="1"/>
    <col min="13317" max="13317" width="13.5703125" style="446" customWidth="1"/>
    <col min="13318" max="13318" width="12" style="446" customWidth="1"/>
    <col min="13319" max="13319" width="14.140625" style="446" customWidth="1"/>
    <col min="13320" max="13320" width="11" style="446" customWidth="1"/>
    <col min="13321" max="13321" width="11.5703125" style="446" customWidth="1"/>
    <col min="13322" max="13322" width="13" style="446" customWidth="1"/>
    <col min="13323" max="13323" width="14.7109375" style="446" customWidth="1"/>
    <col min="13324" max="13568" width="8.85546875" style="446"/>
    <col min="13569" max="13569" width="5" style="446" customWidth="1"/>
    <col min="13570" max="13570" width="10.5703125" style="446" customWidth="1"/>
    <col min="13571" max="13571" width="8.85546875" style="446" customWidth="1"/>
    <col min="13572" max="13572" width="12" style="446" customWidth="1"/>
    <col min="13573" max="13573" width="13.5703125" style="446" customWidth="1"/>
    <col min="13574" max="13574" width="12" style="446" customWidth="1"/>
    <col min="13575" max="13575" width="14.140625" style="446" customWidth="1"/>
    <col min="13576" max="13576" width="11" style="446" customWidth="1"/>
    <col min="13577" max="13577" width="11.5703125" style="446" customWidth="1"/>
    <col min="13578" max="13578" width="13" style="446" customWidth="1"/>
    <col min="13579" max="13579" width="14.7109375" style="446" customWidth="1"/>
    <col min="13580" max="13824" width="8.85546875" style="446"/>
    <col min="13825" max="13825" width="5" style="446" customWidth="1"/>
    <col min="13826" max="13826" width="10.5703125" style="446" customWidth="1"/>
    <col min="13827" max="13827" width="8.85546875" style="446" customWidth="1"/>
    <col min="13828" max="13828" width="12" style="446" customWidth="1"/>
    <col min="13829" max="13829" width="13.5703125" style="446" customWidth="1"/>
    <col min="13830" max="13830" width="12" style="446" customWidth="1"/>
    <col min="13831" max="13831" width="14.140625" style="446" customWidth="1"/>
    <col min="13832" max="13832" width="11" style="446" customWidth="1"/>
    <col min="13833" max="13833" width="11.5703125" style="446" customWidth="1"/>
    <col min="13834" max="13834" width="13" style="446" customWidth="1"/>
    <col min="13835" max="13835" width="14.7109375" style="446" customWidth="1"/>
    <col min="13836" max="14080" width="8.85546875" style="446"/>
    <col min="14081" max="14081" width="5" style="446" customWidth="1"/>
    <col min="14082" max="14082" width="10.5703125" style="446" customWidth="1"/>
    <col min="14083" max="14083" width="8.85546875" style="446" customWidth="1"/>
    <col min="14084" max="14084" width="12" style="446" customWidth="1"/>
    <col min="14085" max="14085" width="13.5703125" style="446" customWidth="1"/>
    <col min="14086" max="14086" width="12" style="446" customWidth="1"/>
    <col min="14087" max="14087" width="14.140625" style="446" customWidth="1"/>
    <col min="14088" max="14088" width="11" style="446" customWidth="1"/>
    <col min="14089" max="14089" width="11.5703125" style="446" customWidth="1"/>
    <col min="14090" max="14090" width="13" style="446" customWidth="1"/>
    <col min="14091" max="14091" width="14.7109375" style="446" customWidth="1"/>
    <col min="14092" max="14336" width="8.85546875" style="446"/>
    <col min="14337" max="14337" width="5" style="446" customWidth="1"/>
    <col min="14338" max="14338" width="10.5703125" style="446" customWidth="1"/>
    <col min="14339" max="14339" width="8.85546875" style="446" customWidth="1"/>
    <col min="14340" max="14340" width="12" style="446" customWidth="1"/>
    <col min="14341" max="14341" width="13.5703125" style="446" customWidth="1"/>
    <col min="14342" max="14342" width="12" style="446" customWidth="1"/>
    <col min="14343" max="14343" width="14.140625" style="446" customWidth="1"/>
    <col min="14344" max="14344" width="11" style="446" customWidth="1"/>
    <col min="14345" max="14345" width="11.5703125" style="446" customWidth="1"/>
    <col min="14346" max="14346" width="13" style="446" customWidth="1"/>
    <col min="14347" max="14347" width="14.7109375" style="446" customWidth="1"/>
    <col min="14348" max="14592" width="8.85546875" style="446"/>
    <col min="14593" max="14593" width="5" style="446" customWidth="1"/>
    <col min="14594" max="14594" width="10.5703125" style="446" customWidth="1"/>
    <col min="14595" max="14595" width="8.85546875" style="446" customWidth="1"/>
    <col min="14596" max="14596" width="12" style="446" customWidth="1"/>
    <col min="14597" max="14597" width="13.5703125" style="446" customWidth="1"/>
    <col min="14598" max="14598" width="12" style="446" customWidth="1"/>
    <col min="14599" max="14599" width="14.140625" style="446" customWidth="1"/>
    <col min="14600" max="14600" width="11" style="446" customWidth="1"/>
    <col min="14601" max="14601" width="11.5703125" style="446" customWidth="1"/>
    <col min="14602" max="14602" width="13" style="446" customWidth="1"/>
    <col min="14603" max="14603" width="14.7109375" style="446" customWidth="1"/>
    <col min="14604" max="14848" width="8.85546875" style="446"/>
    <col min="14849" max="14849" width="5" style="446" customWidth="1"/>
    <col min="14850" max="14850" width="10.5703125" style="446" customWidth="1"/>
    <col min="14851" max="14851" width="8.85546875" style="446" customWidth="1"/>
    <col min="14852" max="14852" width="12" style="446" customWidth="1"/>
    <col min="14853" max="14853" width="13.5703125" style="446" customWidth="1"/>
    <col min="14854" max="14854" width="12" style="446" customWidth="1"/>
    <col min="14855" max="14855" width="14.140625" style="446" customWidth="1"/>
    <col min="14856" max="14856" width="11" style="446" customWidth="1"/>
    <col min="14857" max="14857" width="11.5703125" style="446" customWidth="1"/>
    <col min="14858" max="14858" width="13" style="446" customWidth="1"/>
    <col min="14859" max="14859" width="14.7109375" style="446" customWidth="1"/>
    <col min="14860" max="15104" width="8.85546875" style="446"/>
    <col min="15105" max="15105" width="5" style="446" customWidth="1"/>
    <col min="15106" max="15106" width="10.5703125" style="446" customWidth="1"/>
    <col min="15107" max="15107" width="8.85546875" style="446" customWidth="1"/>
    <col min="15108" max="15108" width="12" style="446" customWidth="1"/>
    <col min="15109" max="15109" width="13.5703125" style="446" customWidth="1"/>
    <col min="15110" max="15110" width="12" style="446" customWidth="1"/>
    <col min="15111" max="15111" width="14.140625" style="446" customWidth="1"/>
    <col min="15112" max="15112" width="11" style="446" customWidth="1"/>
    <col min="15113" max="15113" width="11.5703125" style="446" customWidth="1"/>
    <col min="15114" max="15114" width="13" style="446" customWidth="1"/>
    <col min="15115" max="15115" width="14.7109375" style="446" customWidth="1"/>
    <col min="15116" max="15360" width="8.85546875" style="446"/>
    <col min="15361" max="15361" width="5" style="446" customWidth="1"/>
    <col min="15362" max="15362" width="10.5703125" style="446" customWidth="1"/>
    <col min="15363" max="15363" width="8.85546875" style="446" customWidth="1"/>
    <col min="15364" max="15364" width="12" style="446" customWidth="1"/>
    <col min="15365" max="15365" width="13.5703125" style="446" customWidth="1"/>
    <col min="15366" max="15366" width="12" style="446" customWidth="1"/>
    <col min="15367" max="15367" width="14.140625" style="446" customWidth="1"/>
    <col min="15368" max="15368" width="11" style="446" customWidth="1"/>
    <col min="15369" max="15369" width="11.5703125" style="446" customWidth="1"/>
    <col min="15370" max="15370" width="13" style="446" customWidth="1"/>
    <col min="15371" max="15371" width="14.7109375" style="446" customWidth="1"/>
    <col min="15372" max="15616" width="8.85546875" style="446"/>
    <col min="15617" max="15617" width="5" style="446" customWidth="1"/>
    <col min="15618" max="15618" width="10.5703125" style="446" customWidth="1"/>
    <col min="15619" max="15619" width="8.85546875" style="446" customWidth="1"/>
    <col min="15620" max="15620" width="12" style="446" customWidth="1"/>
    <col min="15621" max="15621" width="13.5703125" style="446" customWidth="1"/>
    <col min="15622" max="15622" width="12" style="446" customWidth="1"/>
    <col min="15623" max="15623" width="14.140625" style="446" customWidth="1"/>
    <col min="15624" max="15624" width="11" style="446" customWidth="1"/>
    <col min="15625" max="15625" width="11.5703125" style="446" customWidth="1"/>
    <col min="15626" max="15626" width="13" style="446" customWidth="1"/>
    <col min="15627" max="15627" width="14.7109375" style="446" customWidth="1"/>
    <col min="15628" max="15872" width="8.85546875" style="446"/>
    <col min="15873" max="15873" width="5" style="446" customWidth="1"/>
    <col min="15874" max="15874" width="10.5703125" style="446" customWidth="1"/>
    <col min="15875" max="15875" width="8.85546875" style="446" customWidth="1"/>
    <col min="15876" max="15876" width="12" style="446" customWidth="1"/>
    <col min="15877" max="15877" width="13.5703125" style="446" customWidth="1"/>
    <col min="15878" max="15878" width="12" style="446" customWidth="1"/>
    <col min="15879" max="15879" width="14.140625" style="446" customWidth="1"/>
    <col min="15880" max="15880" width="11" style="446" customWidth="1"/>
    <col min="15881" max="15881" width="11.5703125" style="446" customWidth="1"/>
    <col min="15882" max="15882" width="13" style="446" customWidth="1"/>
    <col min="15883" max="15883" width="14.7109375" style="446" customWidth="1"/>
    <col min="15884" max="16128" width="8.85546875" style="446"/>
    <col min="16129" max="16129" width="5" style="446" customWidth="1"/>
    <col min="16130" max="16130" width="10.5703125" style="446" customWidth="1"/>
    <col min="16131" max="16131" width="8.85546875" style="446" customWidth="1"/>
    <col min="16132" max="16132" width="12" style="446" customWidth="1"/>
    <col min="16133" max="16133" width="13.5703125" style="446" customWidth="1"/>
    <col min="16134" max="16134" width="12" style="446" customWidth="1"/>
    <col min="16135" max="16135" width="14.140625" style="446" customWidth="1"/>
    <col min="16136" max="16136" width="11" style="446" customWidth="1"/>
    <col min="16137" max="16137" width="11.5703125" style="446" customWidth="1"/>
    <col min="16138" max="16138" width="13" style="446" customWidth="1"/>
    <col min="16139" max="16139" width="14.7109375" style="446" customWidth="1"/>
    <col min="16140" max="16384" width="8.85546875" style="446"/>
  </cols>
  <sheetData>
    <row r="1" spans="1:13" s="427" customFormat="1" x14ac:dyDescent="0.2">
      <c r="A1" s="425"/>
      <c r="B1" s="425"/>
      <c r="C1" s="425"/>
      <c r="D1" s="425"/>
      <c r="E1" s="426"/>
      <c r="F1" s="426"/>
      <c r="G1" s="425"/>
      <c r="H1" s="1912"/>
      <c r="I1" s="1912"/>
      <c r="K1" s="1912"/>
      <c r="L1" s="1912"/>
    </row>
    <row r="2" spans="1:13" s="427" customFormat="1" hidden="1" x14ac:dyDescent="0.2">
      <c r="A2" s="425"/>
      <c r="B2" s="425"/>
      <c r="C2" s="425"/>
      <c r="D2" s="425"/>
      <c r="E2" s="426"/>
      <c r="F2" s="426"/>
      <c r="G2" s="425"/>
      <c r="H2" s="428"/>
      <c r="I2" s="428"/>
      <c r="J2" s="428"/>
      <c r="K2" s="1912"/>
      <c r="L2" s="1912"/>
      <c r="M2" s="1912"/>
    </row>
    <row r="3" spans="1:13" s="427" customFormat="1" hidden="1" x14ac:dyDescent="0.2">
      <c r="A3" s="425"/>
      <c r="B3" s="425"/>
      <c r="C3" s="425"/>
      <c r="D3" s="425"/>
      <c r="E3" s="426"/>
      <c r="F3" s="426"/>
      <c r="G3" s="425"/>
      <c r="H3" s="429"/>
      <c r="I3" s="429"/>
      <c r="J3" s="429"/>
      <c r="K3" s="429"/>
      <c r="L3" s="429"/>
      <c r="M3" s="429"/>
    </row>
    <row r="4" spans="1:13" s="427" customFormat="1" x14ac:dyDescent="0.2">
      <c r="A4" s="425"/>
      <c r="B4" s="425"/>
      <c r="C4" s="425"/>
      <c r="D4" s="425"/>
      <c r="E4" s="426"/>
      <c r="F4" s="426"/>
      <c r="G4" s="425"/>
      <c r="H4" s="1912"/>
      <c r="I4" s="1912"/>
      <c r="K4" s="1912"/>
      <c r="L4" s="1912"/>
    </row>
    <row r="5" spans="1:13" s="427" customFormat="1" x14ac:dyDescent="0.2">
      <c r="A5" s="425"/>
      <c r="B5" s="425"/>
      <c r="C5" s="425"/>
      <c r="D5" s="425"/>
      <c r="E5" s="425"/>
      <c r="F5" s="425"/>
      <c r="G5" s="425"/>
      <c r="H5" s="428"/>
      <c r="I5" s="428"/>
      <c r="K5" s="428"/>
      <c r="L5" s="428"/>
    </row>
    <row r="6" spans="1:13" s="427" customFormat="1" ht="35.25" customHeight="1" x14ac:dyDescent="0.2">
      <c r="A6" s="425"/>
      <c r="B6" s="425"/>
      <c r="C6" s="425"/>
      <c r="D6" s="425"/>
      <c r="E6" s="425"/>
      <c r="F6" s="425"/>
      <c r="G6" s="425"/>
      <c r="H6" s="425"/>
      <c r="I6" s="425"/>
      <c r="J6" s="430"/>
    </row>
    <row r="7" spans="1:13" s="427" customFormat="1" x14ac:dyDescent="0.2">
      <c r="A7" s="1911" t="s">
        <v>552</v>
      </c>
      <c r="B7" s="1911"/>
      <c r="C7" s="1911"/>
      <c r="D7" s="1911"/>
      <c r="E7" s="1911"/>
      <c r="F7" s="1911"/>
      <c r="G7" s="1911"/>
      <c r="H7" s="1911"/>
      <c r="I7" s="1911"/>
      <c r="J7" s="1911"/>
      <c r="K7" s="1911"/>
    </row>
    <row r="8" spans="1:13" s="431" customFormat="1" ht="30.75" customHeight="1" x14ac:dyDescent="0.2">
      <c r="A8" s="1916" t="str">
        <f>' ССР (нов)'!A6:G6</f>
        <v xml:space="preserve">Реконструкция теплового ввода </v>
      </c>
      <c r="B8" s="1917"/>
      <c r="C8" s="1917"/>
      <c r="D8" s="1917"/>
      <c r="E8" s="1917"/>
      <c r="F8" s="1917"/>
      <c r="G8" s="1917"/>
      <c r="H8" s="1917"/>
      <c r="I8" s="1917"/>
      <c r="J8" s="1917"/>
      <c r="K8" s="1917"/>
    </row>
    <row r="9" spans="1:13" s="431" customFormat="1" ht="25.5" customHeight="1" x14ac:dyDescent="0.2">
      <c r="A9" s="1916" t="str">
        <f>' ССР (нов)'!A7:G7</f>
        <v>г. Москва , ул. Мневники д.4</v>
      </c>
      <c r="B9" s="1916"/>
      <c r="C9" s="1916"/>
      <c r="D9" s="1916"/>
      <c r="E9" s="1916"/>
      <c r="F9" s="1916"/>
      <c r="G9" s="1916"/>
      <c r="H9" s="1916"/>
      <c r="I9" s="1916"/>
      <c r="J9" s="1916"/>
      <c r="K9" s="1916"/>
    </row>
    <row r="10" spans="1:13" s="403" customFormat="1" ht="27" customHeight="1" x14ac:dyDescent="0.2">
      <c r="A10" s="1916" t="s">
        <v>575</v>
      </c>
      <c r="B10" s="1916"/>
      <c r="C10" s="1916"/>
      <c r="D10" s="1916"/>
      <c r="E10" s="1916"/>
      <c r="F10" s="1916"/>
      <c r="G10" s="1916"/>
      <c r="H10" s="1916"/>
      <c r="I10" s="1916"/>
      <c r="J10" s="1916"/>
      <c r="K10" s="1916"/>
    </row>
    <row r="11" spans="1:13" s="433" customFormat="1" ht="12.75" customHeight="1" x14ac:dyDescent="0.2">
      <c r="A11" s="404"/>
      <c r="B11" s="432"/>
      <c r="C11" s="432"/>
      <c r="D11" s="432"/>
      <c r="E11" s="432"/>
      <c r="F11" s="432"/>
      <c r="G11" s="432"/>
      <c r="H11" s="432"/>
      <c r="I11" s="432"/>
      <c r="J11" s="404"/>
    </row>
    <row r="12" spans="1:13" s="405" customFormat="1" ht="45" customHeight="1" x14ac:dyDescent="0.2">
      <c r="A12" s="1918" t="s">
        <v>191</v>
      </c>
      <c r="B12" s="1918"/>
      <c r="C12" s="1918"/>
      <c r="D12" s="1918"/>
      <c r="E12" s="1918"/>
      <c r="F12" s="1918"/>
      <c r="G12" s="1918"/>
      <c r="H12" s="1918"/>
      <c r="I12" s="1918"/>
      <c r="J12" s="1918"/>
      <c r="K12" s="1918"/>
    </row>
    <row r="13" spans="1:13" s="405" customFormat="1" x14ac:dyDescent="0.2">
      <c r="A13" s="406"/>
      <c r="B13" s="406"/>
      <c r="C13" s="406"/>
      <c r="D13" s="406"/>
      <c r="E13" s="406"/>
      <c r="F13" s="406"/>
      <c r="G13" s="406"/>
      <c r="H13" s="406"/>
      <c r="I13" s="406"/>
      <c r="J13" s="406"/>
    </row>
    <row r="14" spans="1:13" s="427" customFormat="1" x14ac:dyDescent="0.2">
      <c r="A14" s="434"/>
      <c r="B14" s="435" t="s">
        <v>192</v>
      </c>
      <c r="C14" s="434"/>
      <c r="D14" s="434"/>
      <c r="E14" s="434"/>
      <c r="F14" s="434"/>
      <c r="G14" s="434"/>
      <c r="H14" s="434"/>
      <c r="I14" s="428"/>
      <c r="J14" s="428"/>
    </row>
    <row r="15" spans="1:13" s="428" customFormat="1" ht="8.25" customHeight="1" thickBot="1" x14ac:dyDescent="0.25">
      <c r="J15" s="436"/>
    </row>
    <row r="16" spans="1:13" s="428" customFormat="1" ht="76.5" x14ac:dyDescent="0.2">
      <c r="A16" s="408" t="s">
        <v>31</v>
      </c>
      <c r="B16" s="1922" t="s">
        <v>193</v>
      </c>
      <c r="C16" s="1922"/>
      <c r="D16" s="1922"/>
      <c r="E16" s="407" t="s">
        <v>194</v>
      </c>
      <c r="F16" s="407" t="s">
        <v>195</v>
      </c>
      <c r="G16" s="407" t="s">
        <v>196</v>
      </c>
      <c r="H16" s="407" t="s">
        <v>197</v>
      </c>
      <c r="I16" s="1922" t="s">
        <v>198</v>
      </c>
      <c r="J16" s="1922"/>
      <c r="K16" s="1923"/>
    </row>
    <row r="17" spans="1:12" s="428" customFormat="1" ht="16.5" thickBot="1" x14ac:dyDescent="0.25">
      <c r="A17" s="448">
        <v>1</v>
      </c>
      <c r="B17" s="1924">
        <v>2</v>
      </c>
      <c r="C17" s="1924"/>
      <c r="D17" s="1924"/>
      <c r="E17" s="449">
        <v>3</v>
      </c>
      <c r="F17" s="449">
        <v>4</v>
      </c>
      <c r="G17" s="449">
        <v>5</v>
      </c>
      <c r="H17" s="449">
        <v>6</v>
      </c>
      <c r="I17" s="1924">
        <v>7</v>
      </c>
      <c r="J17" s="1924"/>
      <c r="K17" s="1925"/>
    </row>
    <row r="18" spans="1:12" s="428" customFormat="1" ht="20.25" customHeight="1" thickTop="1" x14ac:dyDescent="0.2">
      <c r="A18" s="421">
        <v>1</v>
      </c>
      <c r="B18" s="1931" t="s">
        <v>199</v>
      </c>
      <c r="C18" s="1931"/>
      <c r="D18" s="1931"/>
      <c r="E18" s="422">
        <v>0.5</v>
      </c>
      <c r="F18" s="447"/>
      <c r="G18" s="422">
        <v>1</v>
      </c>
      <c r="H18" s="423">
        <v>1.85</v>
      </c>
      <c r="I18" s="1926">
        <f>E18/$F$23*G18*H18</f>
        <v>0.23125000000000001</v>
      </c>
      <c r="J18" s="1926"/>
      <c r="K18" s="1927"/>
      <c r="L18" s="434"/>
    </row>
    <row r="19" spans="1:12" s="428" customFormat="1" ht="20.25" customHeight="1" x14ac:dyDescent="0.2">
      <c r="A19" s="412">
        <v>2</v>
      </c>
      <c r="B19" s="1915" t="s">
        <v>200</v>
      </c>
      <c r="C19" s="1915"/>
      <c r="D19" s="1915"/>
      <c r="E19" s="413">
        <v>1</v>
      </c>
      <c r="F19" s="437"/>
      <c r="G19" s="413">
        <v>1</v>
      </c>
      <c r="H19" s="414">
        <v>1.8</v>
      </c>
      <c r="I19" s="1928">
        <f>E19/$F$23*G19*H19</f>
        <v>0.45</v>
      </c>
      <c r="J19" s="1928"/>
      <c r="K19" s="1929"/>
      <c r="L19" s="434"/>
    </row>
    <row r="20" spans="1:12" s="428" customFormat="1" ht="20.25" customHeight="1" x14ac:dyDescent="0.2">
      <c r="A20" s="412">
        <v>3</v>
      </c>
      <c r="B20" s="1915" t="s">
        <v>212</v>
      </c>
      <c r="C20" s="1915"/>
      <c r="D20" s="1915"/>
      <c r="E20" s="413">
        <v>1</v>
      </c>
      <c r="F20" s="437"/>
      <c r="G20" s="413">
        <v>1</v>
      </c>
      <c r="H20" s="414">
        <v>1</v>
      </c>
      <c r="I20" s="1928">
        <f>E20/$F$23*G20*H20</f>
        <v>0.25</v>
      </c>
      <c r="J20" s="1928"/>
      <c r="K20" s="1929"/>
      <c r="L20" s="434"/>
    </row>
    <row r="21" spans="1:12" s="428" customFormat="1" ht="20.25" customHeight="1" x14ac:dyDescent="0.2">
      <c r="A21" s="412">
        <v>4</v>
      </c>
      <c r="B21" s="1915" t="s">
        <v>212</v>
      </c>
      <c r="C21" s="1915"/>
      <c r="D21" s="1915"/>
      <c r="E21" s="413">
        <v>1</v>
      </c>
      <c r="F21" s="437"/>
      <c r="G21" s="413">
        <v>1</v>
      </c>
      <c r="H21" s="414">
        <v>1</v>
      </c>
      <c r="I21" s="1928">
        <f>E21/$F$23*G21*H21</f>
        <v>0.25</v>
      </c>
      <c r="J21" s="1928"/>
      <c r="K21" s="1929"/>
      <c r="L21" s="434"/>
    </row>
    <row r="22" spans="1:12" s="428" customFormat="1" ht="20.25" customHeight="1" x14ac:dyDescent="0.2">
      <c r="A22" s="412">
        <v>5</v>
      </c>
      <c r="B22" s="1915" t="s">
        <v>212</v>
      </c>
      <c r="C22" s="1915"/>
      <c r="D22" s="1915"/>
      <c r="E22" s="413">
        <v>0.5</v>
      </c>
      <c r="F22" s="437"/>
      <c r="G22" s="413">
        <v>1</v>
      </c>
      <c r="H22" s="414">
        <v>1</v>
      </c>
      <c r="I22" s="1928">
        <f>E22/$F$23*G22*H22</f>
        <v>0.125</v>
      </c>
      <c r="J22" s="1928"/>
      <c r="K22" s="1929"/>
      <c r="L22" s="434"/>
    </row>
    <row r="23" spans="1:12" s="420" customFormat="1" ht="33" customHeight="1" thickBot="1" x14ac:dyDescent="0.25">
      <c r="A23" s="415"/>
      <c r="B23" s="1921" t="s">
        <v>85</v>
      </c>
      <c r="C23" s="1921"/>
      <c r="D23" s="1921"/>
      <c r="E23" s="416"/>
      <c r="F23" s="417">
        <v>4</v>
      </c>
      <c r="G23" s="418">
        <f>SUM(G18:G22)</f>
        <v>5</v>
      </c>
      <c r="H23" s="419"/>
      <c r="I23" s="1930" t="str">
        <f>CONCATENATE("(",I18,"+",I19,"+",I20,"               +",I21,"+",I22,")/",G23)</f>
        <v>(0,23125+0,45+0,25               +0,25+0,125)/5</v>
      </c>
      <c r="J23" s="1930"/>
      <c r="K23" s="424">
        <f>ROUND((I18+I19+I20+I21+I22)/G23,3)</f>
        <v>0.26100000000000001</v>
      </c>
    </row>
    <row r="24" spans="1:12" s="428" customFormat="1" ht="8.25" customHeight="1" x14ac:dyDescent="0.2"/>
    <row r="25" spans="1:12" s="438" customFormat="1" x14ac:dyDescent="0.2">
      <c r="B25" s="438" t="s">
        <v>201</v>
      </c>
    </row>
    <row r="26" spans="1:12" s="428" customFormat="1" ht="6" customHeight="1" thickBot="1" x14ac:dyDescent="0.25">
      <c r="B26" s="429"/>
    </row>
    <row r="27" spans="1:12" s="428" customFormat="1" ht="76.5" x14ac:dyDescent="0.2">
      <c r="A27" s="408" t="s">
        <v>31</v>
      </c>
      <c r="B27" s="409" t="s">
        <v>202</v>
      </c>
      <c r="C27" s="410" t="s">
        <v>203</v>
      </c>
      <c r="D27" s="410" t="s">
        <v>204</v>
      </c>
      <c r="E27" s="410" t="s">
        <v>205</v>
      </c>
      <c r="F27" s="410" t="s">
        <v>206</v>
      </c>
      <c r="G27" s="410" t="s">
        <v>207</v>
      </c>
      <c r="H27" s="410" t="s">
        <v>208</v>
      </c>
      <c r="I27" s="410" t="s">
        <v>209</v>
      </c>
      <c r="J27" s="410" t="s">
        <v>210</v>
      </c>
      <c r="K27" s="411" t="s">
        <v>211</v>
      </c>
    </row>
    <row r="28" spans="1:12" s="420" customFormat="1" ht="16.5" thickBot="1" x14ac:dyDescent="0.25">
      <c r="A28" s="448">
        <v>1</v>
      </c>
      <c r="B28" s="450">
        <v>2</v>
      </c>
      <c r="C28" s="449">
        <v>3</v>
      </c>
      <c r="D28" s="449">
        <v>4</v>
      </c>
      <c r="E28" s="449">
        <v>5</v>
      </c>
      <c r="F28" s="449">
        <v>6</v>
      </c>
      <c r="G28" s="449">
        <v>7</v>
      </c>
      <c r="H28" s="449">
        <v>8</v>
      </c>
      <c r="I28" s="449">
        <v>9</v>
      </c>
      <c r="J28" s="449">
        <v>10</v>
      </c>
      <c r="K28" s="451">
        <v>11</v>
      </c>
    </row>
    <row r="29" spans="1:12" s="428" customFormat="1" ht="24" customHeight="1" thickTop="1" thickBot="1" x14ac:dyDescent="0.25">
      <c r="A29" s="439">
        <v>1</v>
      </c>
      <c r="B29" s="440">
        <v>9590</v>
      </c>
      <c r="C29" s="441">
        <v>22</v>
      </c>
      <c r="D29" s="442">
        <f>ROUND(B29/C29,2)</f>
        <v>435.91</v>
      </c>
      <c r="E29" s="443">
        <v>0.4</v>
      </c>
      <c r="F29" s="443">
        <v>0.1</v>
      </c>
      <c r="G29" s="442">
        <f>ROUND(D29*(1+F29)/E29,2)</f>
        <v>1198.75</v>
      </c>
      <c r="H29" s="441">
        <f>F23</f>
        <v>4</v>
      </c>
      <c r="I29" s="441">
        <f>G23</f>
        <v>5</v>
      </c>
      <c r="J29" s="444">
        <f>K23</f>
        <v>0.26100000000000001</v>
      </c>
      <c r="K29" s="445">
        <f>ROUND(G29*H29*I29*J29,2)</f>
        <v>6257.48</v>
      </c>
    </row>
    <row r="30" spans="1:12" s="428" customFormat="1" ht="20.25" customHeight="1" x14ac:dyDescent="0.2"/>
    <row r="31" spans="1:12" x14ac:dyDescent="0.2">
      <c r="B31" s="438" t="s">
        <v>213</v>
      </c>
    </row>
    <row r="32" spans="1:12" ht="3.75" customHeight="1" thickBot="1" x14ac:dyDescent="0.25"/>
    <row r="33" spans="1:11" s="428" customFormat="1" ht="60.75" customHeight="1" x14ac:dyDescent="0.2">
      <c r="A33" s="408" t="s">
        <v>31</v>
      </c>
      <c r="B33" s="1932" t="s">
        <v>211</v>
      </c>
      <c r="C33" s="1933"/>
      <c r="D33" s="410" t="s">
        <v>214</v>
      </c>
      <c r="E33" s="411" t="s">
        <v>85</v>
      </c>
      <c r="F33" s="453"/>
      <c r="G33" s="453"/>
      <c r="H33" s="453"/>
      <c r="I33" s="453"/>
      <c r="J33" s="453"/>
      <c r="K33" s="453"/>
    </row>
    <row r="34" spans="1:11" s="420" customFormat="1" ht="16.5" thickBot="1" x14ac:dyDescent="0.25">
      <c r="A34" s="448">
        <v>1</v>
      </c>
      <c r="B34" s="1913">
        <v>2</v>
      </c>
      <c r="C34" s="1914"/>
      <c r="D34" s="449">
        <v>4</v>
      </c>
      <c r="E34" s="451">
        <v>5</v>
      </c>
      <c r="F34" s="453"/>
      <c r="G34" s="453"/>
      <c r="H34" s="453"/>
      <c r="I34" s="453"/>
      <c r="J34" s="453"/>
      <c r="K34" s="453"/>
    </row>
    <row r="35" spans="1:11" s="428" customFormat="1" ht="24" customHeight="1" thickTop="1" thickBot="1" x14ac:dyDescent="0.25">
      <c r="A35" s="439">
        <v>1</v>
      </c>
      <c r="B35" s="1919">
        <f>K29</f>
        <v>6257.48</v>
      </c>
      <c r="C35" s="1920"/>
      <c r="D35" s="452">
        <v>2</v>
      </c>
      <c r="E35" s="459">
        <f>ROUND(B35*D35,2)*0</f>
        <v>0</v>
      </c>
      <c r="F35" s="454"/>
      <c r="G35" s="455"/>
      <c r="H35" s="456"/>
      <c r="I35" s="456"/>
      <c r="J35" s="457"/>
      <c r="K35" s="458"/>
    </row>
  </sheetData>
  <mergeCells count="29">
    <mergeCell ref="B35:C35"/>
    <mergeCell ref="B23:D23"/>
    <mergeCell ref="I16:K16"/>
    <mergeCell ref="I17:K17"/>
    <mergeCell ref="I18:K18"/>
    <mergeCell ref="I19:K19"/>
    <mergeCell ref="I20:K20"/>
    <mergeCell ref="I22:K22"/>
    <mergeCell ref="I23:J23"/>
    <mergeCell ref="B21:D21"/>
    <mergeCell ref="I21:K21"/>
    <mergeCell ref="B16:D16"/>
    <mergeCell ref="B17:D17"/>
    <mergeCell ref="B18:D18"/>
    <mergeCell ref="B19:D19"/>
    <mergeCell ref="B33:C33"/>
    <mergeCell ref="B34:C34"/>
    <mergeCell ref="B22:D22"/>
    <mergeCell ref="B20:D20"/>
    <mergeCell ref="A8:K8"/>
    <mergeCell ref="A10:K10"/>
    <mergeCell ref="A12:K12"/>
    <mergeCell ref="A9:K9"/>
    <mergeCell ref="A7:K7"/>
    <mergeCell ref="H1:I1"/>
    <mergeCell ref="K1:L1"/>
    <mergeCell ref="K2:M2"/>
    <mergeCell ref="H4:I4"/>
    <mergeCell ref="K4:L4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"/>
  <sheetViews>
    <sheetView view="pageBreakPreview" topLeftCell="A4" zoomScale="90" zoomScaleNormal="100" zoomScaleSheetLayoutView="90" workbookViewId="0">
      <selection activeCell="A57" sqref="A57:XFD62"/>
    </sheetView>
  </sheetViews>
  <sheetFormatPr defaultColWidth="9.140625" defaultRowHeight="15.75" x14ac:dyDescent="0.25"/>
  <cols>
    <col min="1" max="1" width="6.28515625" style="1137" customWidth="1"/>
    <col min="2" max="2" width="34" style="1137" customWidth="1"/>
    <col min="3" max="3" width="18.28515625" style="1137" customWidth="1"/>
    <col min="4" max="4" width="12.140625" style="1137" customWidth="1"/>
    <col min="5" max="5" width="23.85546875" style="1137" customWidth="1"/>
    <col min="6" max="6" width="9.28515625" style="1137" bestFit="1" customWidth="1"/>
    <col min="7" max="7" width="26.28515625" style="1137" customWidth="1"/>
    <col min="8" max="8" width="14.28515625" style="1137" customWidth="1"/>
    <col min="9" max="9" width="25.85546875" style="1441" customWidth="1"/>
    <col min="10" max="10" width="10.28515625" style="1137" customWidth="1"/>
    <col min="11" max="11" width="11.5703125" style="1137" customWidth="1"/>
    <col min="12" max="16384" width="9.140625" style="1137"/>
  </cols>
  <sheetData>
    <row r="1" spans="1:9" hidden="1" x14ac:dyDescent="0.25">
      <c r="A1" s="253"/>
      <c r="B1" s="253"/>
      <c r="C1" s="253"/>
      <c r="D1" s="253"/>
      <c r="E1" s="253"/>
      <c r="F1" s="1947" t="s">
        <v>48</v>
      </c>
      <c r="G1" s="1947"/>
      <c r="H1" s="1947"/>
    </row>
    <row r="2" spans="1:9" hidden="1" x14ac:dyDescent="0.25">
      <c r="A2" s="136"/>
      <c r="B2" s="136"/>
      <c r="C2" s="136"/>
      <c r="D2" s="255"/>
      <c r="E2" s="136"/>
      <c r="F2" s="1947" t="s">
        <v>80</v>
      </c>
      <c r="G2" s="1947"/>
      <c r="H2" s="1947"/>
    </row>
    <row r="3" spans="1:9" hidden="1" x14ac:dyDescent="0.25">
      <c r="A3" s="136"/>
      <c r="B3" s="136"/>
      <c r="C3" s="136"/>
      <c r="D3" s="255"/>
      <c r="E3" s="136"/>
      <c r="F3" s="702" t="s">
        <v>81</v>
      </c>
      <c r="G3" s="705"/>
      <c r="H3" s="258"/>
    </row>
    <row r="4" spans="1:9" x14ac:dyDescent="0.25">
      <c r="A4" s="136"/>
      <c r="B4" s="136"/>
      <c r="C4" s="136"/>
      <c r="D4" s="255"/>
      <c r="E4" s="136"/>
      <c r="F4" s="702"/>
      <c r="G4" s="705"/>
      <c r="H4" s="258"/>
    </row>
    <row r="5" spans="1:9" x14ac:dyDescent="0.25">
      <c r="A5" s="1948" t="s">
        <v>82</v>
      </c>
      <c r="B5" s="1948"/>
      <c r="C5" s="1948"/>
      <c r="D5" s="1948"/>
      <c r="E5" s="1948"/>
      <c r="F5" s="1948"/>
      <c r="G5" s="1948"/>
      <c r="H5" s="1948"/>
    </row>
    <row r="6" spans="1:9" x14ac:dyDescent="0.25">
      <c r="A6" s="703"/>
      <c r="B6" s="703"/>
      <c r="C6" s="703"/>
      <c r="D6" s="703"/>
      <c r="E6" s="703"/>
      <c r="F6" s="703"/>
      <c r="G6" s="703"/>
      <c r="H6" s="703"/>
    </row>
    <row r="7" spans="1:9" x14ac:dyDescent="0.25">
      <c r="A7" s="704"/>
      <c r="B7" s="704"/>
      <c r="C7" s="704"/>
      <c r="D7" s="704"/>
      <c r="E7" s="704"/>
      <c r="F7" s="704"/>
      <c r="G7" s="704"/>
      <c r="H7" s="704"/>
    </row>
    <row r="8" spans="1:9" ht="35.25" customHeight="1" x14ac:dyDescent="0.25">
      <c r="A8" s="1949" t="str">
        <f>' ССР (нов)'!A6:G6</f>
        <v xml:space="preserve">Реконструкция теплового ввода </v>
      </c>
      <c r="B8" s="1949"/>
      <c r="C8" s="1949"/>
      <c r="D8" s="1949"/>
      <c r="E8" s="1949"/>
      <c r="F8" s="1949"/>
      <c r="G8" s="1949"/>
      <c r="H8" s="1949"/>
    </row>
    <row r="9" spans="1:9" ht="35.25" customHeight="1" x14ac:dyDescent="0.25">
      <c r="A9" s="1950" t="str">
        <f>' ССР (нов)'!A7:G7</f>
        <v>г. Москва , ул. Мневники д.4</v>
      </c>
      <c r="B9" s="1950"/>
      <c r="C9" s="1950"/>
      <c r="D9" s="1950"/>
      <c r="E9" s="1950"/>
      <c r="F9" s="1950"/>
      <c r="G9" s="1950"/>
      <c r="H9" s="1950"/>
    </row>
    <row r="10" spans="1:9" ht="25.5" customHeight="1" x14ac:dyDescent="0.25">
      <c r="A10" s="1950" t="s">
        <v>631</v>
      </c>
      <c r="B10" s="1950"/>
      <c r="C10" s="1950"/>
      <c r="D10" s="1950"/>
      <c r="E10" s="1950"/>
      <c r="F10" s="1950"/>
      <c r="G10" s="1950"/>
      <c r="H10" s="1950"/>
    </row>
    <row r="11" spans="1:9" ht="25.5" customHeight="1" x14ac:dyDescent="0.25">
      <c r="A11" s="1950" t="s">
        <v>632</v>
      </c>
      <c r="B11" s="1950"/>
      <c r="C11" s="1950"/>
      <c r="D11" s="1950"/>
      <c r="E11" s="1950"/>
      <c r="F11" s="1950"/>
      <c r="G11" s="1950"/>
      <c r="H11" s="1950"/>
    </row>
    <row r="12" spans="1:9" ht="21.75" customHeight="1" x14ac:dyDescent="0.25">
      <c r="A12" s="705"/>
      <c r="B12" s="224"/>
      <c r="C12" s="224"/>
      <c r="D12" s="261"/>
      <c r="E12" s="224"/>
      <c r="F12" s="262"/>
      <c r="G12" s="224"/>
      <c r="H12" s="261"/>
    </row>
    <row r="13" spans="1:9" ht="40.5" customHeight="1" thickBot="1" x14ac:dyDescent="0.3">
      <c r="A13" s="1944" t="s">
        <v>694</v>
      </c>
      <c r="B13" s="1945"/>
      <c r="C13" s="1945"/>
      <c r="D13" s="1945"/>
      <c r="E13" s="1945"/>
      <c r="F13" s="1945"/>
      <c r="G13" s="1945"/>
      <c r="H13" s="1946"/>
    </row>
    <row r="14" spans="1:9" s="1436" customFormat="1" ht="24.75" thickBot="1" x14ac:dyDescent="0.25">
      <c r="A14" s="310" t="s">
        <v>31</v>
      </c>
      <c r="B14" s="1942" t="s">
        <v>32</v>
      </c>
      <c r="C14" s="1943"/>
      <c r="D14" s="311" t="s">
        <v>33</v>
      </c>
      <c r="E14" s="311" t="s">
        <v>34</v>
      </c>
      <c r="F14" s="312" t="s">
        <v>35</v>
      </c>
      <c r="G14" s="311" t="s">
        <v>0</v>
      </c>
      <c r="H14" s="313" t="s">
        <v>36</v>
      </c>
      <c r="I14" s="1443"/>
    </row>
    <row r="15" spans="1:9" ht="78.75" x14ac:dyDescent="0.25">
      <c r="A15" s="263">
        <v>1</v>
      </c>
      <c r="B15" s="264" t="s">
        <v>83</v>
      </c>
      <c r="C15" s="265" t="s">
        <v>97</v>
      </c>
      <c r="D15" s="266">
        <v>820</v>
      </c>
      <c r="E15" s="267" t="s">
        <v>581</v>
      </c>
      <c r="F15" s="268">
        <v>1</v>
      </c>
      <c r="G15" s="268" t="str">
        <f>CONCATENATE(D15,"*",F15)</f>
        <v>820*1</v>
      </c>
      <c r="H15" s="269">
        <f>ROUND(D15*F15,2)</f>
        <v>820</v>
      </c>
      <c r="I15" s="1444"/>
    </row>
    <row r="16" spans="1:9" ht="47.25" x14ac:dyDescent="0.25">
      <c r="A16" s="263">
        <v>2</v>
      </c>
      <c r="B16" s="264" t="s">
        <v>84</v>
      </c>
      <c r="C16" s="265" t="s">
        <v>97</v>
      </c>
      <c r="D16" s="266">
        <v>1326</v>
      </c>
      <c r="E16" s="267" t="s">
        <v>582</v>
      </c>
      <c r="F16" s="268">
        <v>1</v>
      </c>
      <c r="G16" s="268" t="str">
        <f>CONCATENATE(D16,"*",F16)</f>
        <v>1326*1</v>
      </c>
      <c r="H16" s="269">
        <f>ROUND(D16*F16,2)</f>
        <v>1326</v>
      </c>
      <c r="I16" s="1444"/>
    </row>
    <row r="17" spans="1:10" x14ac:dyDescent="0.25">
      <c r="A17" s="263"/>
      <c r="B17" s="271" t="s">
        <v>85</v>
      </c>
      <c r="C17" s="267"/>
      <c r="D17" s="272"/>
      <c r="E17" s="267"/>
      <c r="F17" s="273"/>
      <c r="G17" s="274"/>
      <c r="H17" s="275">
        <f>SUM(H15:H16)</f>
        <v>2146</v>
      </c>
      <c r="I17" s="1444"/>
    </row>
    <row r="18" spans="1:10" ht="31.5" x14ac:dyDescent="0.25">
      <c r="A18" s="263">
        <v>3</v>
      </c>
      <c r="B18" s="264" t="s">
        <v>37</v>
      </c>
      <c r="C18" s="265" t="s">
        <v>97</v>
      </c>
      <c r="D18" s="266">
        <v>484</v>
      </c>
      <c r="E18" s="267" t="s">
        <v>583</v>
      </c>
      <c r="F18" s="268">
        <v>1</v>
      </c>
      <c r="G18" s="268" t="str">
        <f>CONCATENATE(D18,"*",F18)</f>
        <v>484*1</v>
      </c>
      <c r="H18" s="269">
        <f>ROUND(D18*F18,2)</f>
        <v>484</v>
      </c>
      <c r="I18" s="1444"/>
    </row>
    <row r="19" spans="1:10" ht="78.75" x14ac:dyDescent="0.25">
      <c r="A19" s="277">
        <v>4</v>
      </c>
      <c r="B19" s="278" t="s">
        <v>38</v>
      </c>
      <c r="C19" s="279"/>
      <c r="D19" s="280">
        <v>1214</v>
      </c>
      <c r="E19" s="281" t="s">
        <v>584</v>
      </c>
      <c r="F19" s="280">
        <v>1</v>
      </c>
      <c r="G19" s="268" t="str">
        <f>CONCATENATE(D19,"*",F19)</f>
        <v>1214*1</v>
      </c>
      <c r="H19" s="269">
        <f>ROUND(D19*F19,2)</f>
        <v>1214</v>
      </c>
      <c r="I19" s="1444"/>
    </row>
    <row r="20" spans="1:10" ht="31.5" x14ac:dyDescent="0.25">
      <c r="A20" s="277">
        <v>5</v>
      </c>
      <c r="B20" s="278" t="s">
        <v>39</v>
      </c>
      <c r="C20" s="279"/>
      <c r="D20" s="280">
        <v>318</v>
      </c>
      <c r="E20" s="281" t="s">
        <v>585</v>
      </c>
      <c r="F20" s="280">
        <v>1</v>
      </c>
      <c r="G20" s="268" t="str">
        <f>CONCATENATE(D20,"*",F20)</f>
        <v>318*1</v>
      </c>
      <c r="H20" s="269">
        <f>ROUND(D20*F20,2)</f>
        <v>318</v>
      </c>
      <c r="I20" s="1444"/>
    </row>
    <row r="21" spans="1:10" ht="47.25" x14ac:dyDescent="0.25">
      <c r="A21" s="277">
        <v>6</v>
      </c>
      <c r="B21" s="278" t="s">
        <v>40</v>
      </c>
      <c r="C21" s="279"/>
      <c r="D21" s="280">
        <v>318</v>
      </c>
      <c r="E21" s="281" t="s">
        <v>586</v>
      </c>
      <c r="F21" s="280">
        <v>1</v>
      </c>
      <c r="G21" s="268" t="str">
        <f>CONCATENATE(D21,"*",F21)</f>
        <v>318*1</v>
      </c>
      <c r="H21" s="269">
        <f>ROUND(D21*F21,2)</f>
        <v>318</v>
      </c>
      <c r="I21" s="1444"/>
    </row>
    <row r="22" spans="1:10" ht="94.5" x14ac:dyDescent="0.25">
      <c r="A22" s="282">
        <v>7</v>
      </c>
      <c r="B22" s="1352" t="s">
        <v>576</v>
      </c>
      <c r="C22" s="284" t="s">
        <v>41</v>
      </c>
      <c r="D22" s="285">
        <v>122</v>
      </c>
      <c r="E22" s="1397" t="s">
        <v>587</v>
      </c>
      <c r="F22" s="287">
        <f>Т.с.!C78/1000</f>
        <v>1.78E-2</v>
      </c>
      <c r="G22" s="266">
        <f>D22</f>
        <v>122</v>
      </c>
      <c r="H22" s="276">
        <f>G22</f>
        <v>122</v>
      </c>
      <c r="I22" s="1444"/>
    </row>
    <row r="23" spans="1:10" ht="31.5" x14ac:dyDescent="0.25">
      <c r="A23" s="282">
        <v>8</v>
      </c>
      <c r="B23" s="283" t="s">
        <v>86</v>
      </c>
      <c r="C23" s="265" t="s">
        <v>97</v>
      </c>
      <c r="D23" s="285">
        <v>1241</v>
      </c>
      <c r="E23" s="1397" t="s">
        <v>588</v>
      </c>
      <c r="F23" s="288">
        <v>1</v>
      </c>
      <c r="G23" s="268" t="str">
        <f>CONCATENATE(D23,"*",F23)</f>
        <v>1241*1</v>
      </c>
      <c r="H23" s="276">
        <f>ROUND(D23*F23,2)</f>
        <v>1241</v>
      </c>
      <c r="I23" s="1444"/>
    </row>
    <row r="24" spans="1:10" ht="32.25" customHeight="1" x14ac:dyDescent="0.25">
      <c r="A24" s="282">
        <v>9</v>
      </c>
      <c r="B24" s="1354" t="s">
        <v>87</v>
      </c>
      <c r="C24" s="1355" t="s">
        <v>590</v>
      </c>
      <c r="D24" s="1356">
        <v>1027</v>
      </c>
      <c r="E24" s="1357" t="s">
        <v>589</v>
      </c>
      <c r="F24" s="1358">
        <v>1</v>
      </c>
      <c r="G24" s="1388" t="str">
        <f>CONCATENATE(D24,"*",F24)</f>
        <v>1027*1</v>
      </c>
      <c r="H24" s="276">
        <f>ROUND(D24*F24,2)</f>
        <v>1027</v>
      </c>
    </row>
    <row r="25" spans="1:10" ht="20.25" customHeight="1" x14ac:dyDescent="0.25">
      <c r="A25" s="1353"/>
      <c r="B25" s="1367" t="s">
        <v>591</v>
      </c>
      <c r="C25" s="1362"/>
      <c r="D25" s="1363"/>
      <c r="E25" s="1364"/>
      <c r="F25" s="1365"/>
      <c r="G25" s="1366"/>
      <c r="H25" s="269"/>
    </row>
    <row r="26" spans="1:10" ht="67.5" customHeight="1" x14ac:dyDescent="0.25">
      <c r="A26" s="277">
        <v>10</v>
      </c>
      <c r="B26" s="283" t="s">
        <v>88</v>
      </c>
      <c r="C26" s="1359" t="s">
        <v>593</v>
      </c>
      <c r="D26" s="285">
        <v>1222</v>
      </c>
      <c r="E26" s="1397" t="s">
        <v>592</v>
      </c>
      <c r="F26" s="1360">
        <v>1</v>
      </c>
      <c r="G26" s="1389" t="str">
        <f>CONCATENATE(D26,"*",F26)</f>
        <v>1222*1</v>
      </c>
      <c r="H26" s="276">
        <f>ROUND(D26*F26,2)</f>
        <v>1222</v>
      </c>
    </row>
    <row r="27" spans="1:10" ht="60" customHeight="1" x14ac:dyDescent="0.25">
      <c r="A27" s="277">
        <v>11</v>
      </c>
      <c r="B27" s="281" t="s">
        <v>120</v>
      </c>
      <c r="C27" s="292" t="s">
        <v>594</v>
      </c>
      <c r="D27" s="289">
        <v>335</v>
      </c>
      <c r="E27" s="281" t="s">
        <v>595</v>
      </c>
      <c r="F27" s="290"/>
      <c r="G27" s="290"/>
      <c r="H27" s="269"/>
    </row>
    <row r="28" spans="1:10" ht="39.75" customHeight="1" x14ac:dyDescent="0.25">
      <c r="A28" s="1385" t="s">
        <v>89</v>
      </c>
      <c r="B28" s="291" t="str">
        <f>CONCATENATE("Источники неорганизованные, (кол-во ",D28,") веществ в каждом ",F28)</f>
        <v>Источники неорганизованные, (кол-во 8) веществ в каждом 6</v>
      </c>
      <c r="C28" s="124"/>
      <c r="D28" s="124">
        <v>8</v>
      </c>
      <c r="E28" s="292"/>
      <c r="F28" s="293">
        <v>6</v>
      </c>
      <c r="G28" s="293" t="str">
        <f>CONCATENATE(D27,"*",D28,"*",F28)</f>
        <v>335*8*6</v>
      </c>
      <c r="H28" s="294">
        <f>ROUND(D27*D28*F28,2)</f>
        <v>16080</v>
      </c>
    </row>
    <row r="29" spans="1:10" ht="38.25" customHeight="1" x14ac:dyDescent="0.25">
      <c r="A29" s="1385" t="s">
        <v>99</v>
      </c>
      <c r="B29" s="291" t="str">
        <f t="shared" ref="B29:B30" si="0">CONCATENATE("Источники неорганизованные, (кол-во ",D29,") веществ в каждом ",F29)</f>
        <v>Источники неорганизованные, (кол-во 2) веществ в каждом 4</v>
      </c>
      <c r="C29" s="124"/>
      <c r="D29" s="124">
        <v>2</v>
      </c>
      <c r="E29" s="292"/>
      <c r="F29" s="293">
        <v>4</v>
      </c>
      <c r="G29" s="293" t="str">
        <f>CONCATENATE(D27,"*",D29,"*",F29)</f>
        <v>335*2*4</v>
      </c>
      <c r="H29" s="294">
        <f>ROUND(D27*D29*F29,2)</f>
        <v>2680</v>
      </c>
    </row>
    <row r="30" spans="1:10" ht="43.5" customHeight="1" x14ac:dyDescent="0.25">
      <c r="A30" s="1386" t="s">
        <v>100</v>
      </c>
      <c r="B30" s="291" t="str">
        <f t="shared" si="0"/>
        <v>Источники неорганизованные, (кол-во 2) веществ в каждом 2</v>
      </c>
      <c r="C30" s="124"/>
      <c r="D30" s="124">
        <v>2</v>
      </c>
      <c r="E30" s="292"/>
      <c r="F30" s="293">
        <v>2</v>
      </c>
      <c r="G30" s="293" t="str">
        <f>CONCATENATE(D27,"*",D30,"*",F30)</f>
        <v>335*2*2</v>
      </c>
      <c r="H30" s="294">
        <f>ROUND(D27*D30*F30,2)</f>
        <v>1340</v>
      </c>
    </row>
    <row r="31" spans="1:10" ht="27.75" customHeight="1" x14ac:dyDescent="0.25">
      <c r="A31" s="277"/>
      <c r="B31" s="1379" t="s">
        <v>90</v>
      </c>
      <c r="C31" s="291"/>
      <c r="D31" s="295"/>
      <c r="E31" s="291"/>
      <c r="F31" s="293"/>
      <c r="G31" s="1378">
        <f>SUM(H28:H30)</f>
        <v>20100</v>
      </c>
      <c r="H31" s="275"/>
      <c r="I31" s="1444"/>
      <c r="J31" s="1437"/>
    </row>
    <row r="32" spans="1:10" ht="27.75" customHeight="1" x14ac:dyDescent="0.25">
      <c r="A32" s="263">
        <v>12</v>
      </c>
      <c r="B32" s="278" t="s">
        <v>119</v>
      </c>
      <c r="C32" s="296">
        <v>0.3</v>
      </c>
      <c r="D32" s="266"/>
      <c r="E32" s="267" t="s">
        <v>596</v>
      </c>
      <c r="F32" s="268"/>
      <c r="G32" s="297" t="str">
        <f>CONCATENATE(G31," * ",C32)</f>
        <v>20100 * 0,3</v>
      </c>
      <c r="H32" s="276">
        <f>ROUND(G31*C32,2)</f>
        <v>6030</v>
      </c>
      <c r="I32" s="1444"/>
      <c r="J32" s="1437"/>
    </row>
    <row r="33" spans="1:11" ht="36" customHeight="1" x14ac:dyDescent="0.25">
      <c r="A33" s="263">
        <v>13</v>
      </c>
      <c r="B33" s="278" t="s">
        <v>91</v>
      </c>
      <c r="C33" s="296">
        <v>0.14000000000000001</v>
      </c>
      <c r="D33" s="266"/>
      <c r="E33" s="267" t="s">
        <v>597</v>
      </c>
      <c r="F33" s="268"/>
      <c r="G33" s="297" t="str">
        <f>CONCATENATE(G31," * ",C33)</f>
        <v>20100 * 0,14</v>
      </c>
      <c r="H33" s="276">
        <f>ROUND(G31*C33,2)</f>
        <v>2814</v>
      </c>
      <c r="I33" s="1444"/>
      <c r="J33" s="1437"/>
    </row>
    <row r="34" spans="1:11" ht="30" customHeight="1" x14ac:dyDescent="0.25">
      <c r="A34" s="268">
        <v>14</v>
      </c>
      <c r="B34" s="278" t="s">
        <v>92</v>
      </c>
      <c r="C34" s="296">
        <v>0.14000000000000001</v>
      </c>
      <c r="D34" s="266"/>
      <c r="E34" s="267" t="s">
        <v>598</v>
      </c>
      <c r="F34" s="268"/>
      <c r="G34" s="297" t="str">
        <f>CONCATENATE(G31," * ",C34)</f>
        <v>20100 * 0,14</v>
      </c>
      <c r="H34" s="1374">
        <f>ROUND(G31*C34,2)</f>
        <v>2814</v>
      </c>
    </row>
    <row r="35" spans="1:11" ht="53.25" hidden="1" customHeight="1" x14ac:dyDescent="0.25">
      <c r="A35" s="1390">
        <v>15</v>
      </c>
      <c r="B35" s="1431" t="s">
        <v>93</v>
      </c>
      <c r="C35" s="1432" t="s">
        <v>600</v>
      </c>
      <c r="D35" s="1433">
        <v>653</v>
      </c>
      <c r="E35" s="1434" t="s">
        <v>599</v>
      </c>
      <c r="F35" s="1432">
        <v>0</v>
      </c>
      <c r="G35" s="1432" t="str">
        <f>CONCATENATE(D35,"*",F35)</f>
        <v>653*0</v>
      </c>
      <c r="H35" s="1435">
        <f>ROUND(D35*F35,2)</f>
        <v>0</v>
      </c>
    </row>
    <row r="36" spans="1:11" s="58" customFormat="1" ht="63.75" customHeight="1" x14ac:dyDescent="0.25">
      <c r="A36" s="277">
        <v>17</v>
      </c>
      <c r="B36" s="278" t="s">
        <v>601</v>
      </c>
      <c r="C36" s="290" t="s">
        <v>578</v>
      </c>
      <c r="D36" s="289">
        <v>932</v>
      </c>
      <c r="E36" s="281" t="s">
        <v>602</v>
      </c>
      <c r="F36" s="290">
        <v>1</v>
      </c>
      <c r="G36" s="290" t="str">
        <f>CONCATENATE(D36,"*",F36)</f>
        <v>932*1</v>
      </c>
      <c r="H36" s="276">
        <f>ROUND(D36*F36,2)</f>
        <v>932</v>
      </c>
      <c r="I36" s="1442"/>
    </row>
    <row r="37" spans="1:11" s="58" customFormat="1" ht="63" x14ac:dyDescent="0.25">
      <c r="A37" s="277">
        <v>16</v>
      </c>
      <c r="B37" s="278" t="s">
        <v>42</v>
      </c>
      <c r="C37" s="1375">
        <v>0.38</v>
      </c>
      <c r="D37" s="289"/>
      <c r="E37" s="281" t="s">
        <v>603</v>
      </c>
      <c r="F37" s="290"/>
      <c r="G37" s="1376" t="str">
        <f>CONCATENATE(H36,"*",C37)</f>
        <v>932*0,38</v>
      </c>
      <c r="H37" s="276">
        <f>ROUND(H36*C37,2)</f>
        <v>354.16</v>
      </c>
      <c r="I37" s="1441"/>
    </row>
    <row r="38" spans="1:11" ht="84.75" customHeight="1" x14ac:dyDescent="0.25">
      <c r="A38" s="263">
        <v>17</v>
      </c>
      <c r="B38" s="278" t="s">
        <v>94</v>
      </c>
      <c r="C38" s="268" t="s">
        <v>95</v>
      </c>
      <c r="D38" s="266">
        <v>212</v>
      </c>
      <c r="E38" s="267" t="s">
        <v>604</v>
      </c>
      <c r="F38" s="1456">
        <v>4</v>
      </c>
      <c r="G38" s="268" t="str">
        <f>CONCATENATE(D38,"*",F38)</f>
        <v>212*4</v>
      </c>
      <c r="H38" s="269">
        <f>ROUND(D38*F38,2)</f>
        <v>848</v>
      </c>
    </row>
    <row r="39" spans="1:11" ht="60.75" customHeight="1" x14ac:dyDescent="0.25">
      <c r="A39" s="263">
        <v>18</v>
      </c>
      <c r="B39" s="1369" t="s">
        <v>43</v>
      </c>
      <c r="C39" s="1388" t="s">
        <v>95</v>
      </c>
      <c r="D39" s="1370">
        <v>850</v>
      </c>
      <c r="E39" s="300" t="s">
        <v>605</v>
      </c>
      <c r="F39" s="1457">
        <f>F38</f>
        <v>4</v>
      </c>
      <c r="G39" s="1388" t="str">
        <f>CONCATENATE(D39,"*",F39)</f>
        <v>850*4</v>
      </c>
      <c r="H39" s="269">
        <f>ROUND(D39*F39,2)</f>
        <v>3400</v>
      </c>
    </row>
    <row r="40" spans="1:11" s="58" customFormat="1" ht="45" customHeight="1" x14ac:dyDescent="0.25">
      <c r="A40" s="277">
        <v>19</v>
      </c>
      <c r="B40" s="1369" t="s">
        <v>645</v>
      </c>
      <c r="C40" s="1448">
        <v>0.4</v>
      </c>
      <c r="D40" s="1449"/>
      <c r="E40" s="300" t="s">
        <v>646</v>
      </c>
      <c r="F40" s="1450"/>
      <c r="G40" s="1451" t="str">
        <f>CONCATENATE(H39,"*",C40)</f>
        <v>3400*0,4</v>
      </c>
      <c r="H40" s="1458">
        <f>ROUND((H38+H39)*C40,2)</f>
        <v>1699.2</v>
      </c>
      <c r="I40" s="1442"/>
    </row>
    <row r="41" spans="1:11" ht="24.75" customHeight="1" x14ac:dyDescent="0.25">
      <c r="A41" s="1368"/>
      <c r="B41" s="1380" t="s">
        <v>606</v>
      </c>
      <c r="C41" s="1373"/>
      <c r="D41" s="1372"/>
      <c r="E41" s="1362"/>
      <c r="F41" s="1373"/>
      <c r="G41" s="1366"/>
      <c r="H41" s="269"/>
    </row>
    <row r="42" spans="1:11" s="58" customFormat="1" ht="63.75" customHeight="1" x14ac:dyDescent="0.25">
      <c r="A42" s="277">
        <v>20</v>
      </c>
      <c r="B42" s="278" t="s">
        <v>607</v>
      </c>
      <c r="C42" s="290" t="s">
        <v>608</v>
      </c>
      <c r="D42" s="1459">
        <v>729</v>
      </c>
      <c r="E42" s="281" t="s">
        <v>609</v>
      </c>
      <c r="F42" s="1460">
        <v>1</v>
      </c>
      <c r="G42" s="290" t="str">
        <f>CONCATENATE(D42,"*",F42)</f>
        <v>729*1</v>
      </c>
      <c r="H42" s="276">
        <f>ROUND(D42*F42,2)</f>
        <v>729</v>
      </c>
      <c r="I42" s="1442"/>
    </row>
    <row r="43" spans="1:11" s="58" customFormat="1" ht="47.25" x14ac:dyDescent="0.25">
      <c r="A43" s="277">
        <v>21</v>
      </c>
      <c r="B43" s="1369" t="s">
        <v>611</v>
      </c>
      <c r="C43" s="1448">
        <v>0.25</v>
      </c>
      <c r="D43" s="1449"/>
      <c r="E43" s="1422" t="s">
        <v>610</v>
      </c>
      <c r="F43" s="1450"/>
      <c r="G43" s="1451" t="str">
        <f>CONCATENATE(H42,"*",C43)</f>
        <v>729*0,25</v>
      </c>
      <c r="H43" s="276">
        <f>ROUND(H42*C43,2)</f>
        <v>182.25</v>
      </c>
      <c r="I43" s="1442"/>
    </row>
    <row r="44" spans="1:11" s="58" customFormat="1" ht="27.75" customHeight="1" x14ac:dyDescent="0.25">
      <c r="A44" s="1381"/>
      <c r="B44" s="1380" t="s">
        <v>612</v>
      </c>
      <c r="C44" s="1382"/>
      <c r="D44" s="1363"/>
      <c r="E44" s="1364"/>
      <c r="F44" s="1383"/>
      <c r="G44" s="1384"/>
      <c r="H44" s="269"/>
      <c r="I44" s="1442"/>
    </row>
    <row r="45" spans="1:11" s="58" customFormat="1" ht="27.75" customHeight="1" x14ac:dyDescent="0.25">
      <c r="A45" s="1398"/>
      <c r="B45" s="1399" t="s">
        <v>55</v>
      </c>
      <c r="C45" s="1400"/>
      <c r="D45" s="1401"/>
      <c r="E45" s="1402"/>
      <c r="F45" s="1403"/>
      <c r="G45" s="1404"/>
      <c r="H45" s="1393"/>
      <c r="I45" s="1442" t="s">
        <v>628</v>
      </c>
    </row>
    <row r="46" spans="1:11" ht="47.25" customHeight="1" x14ac:dyDescent="0.25">
      <c r="A46" s="1934">
        <v>22</v>
      </c>
      <c r="B46" s="1936" t="s">
        <v>615</v>
      </c>
      <c r="C46" s="1938" t="s">
        <v>577</v>
      </c>
      <c r="D46" s="1940">
        <v>410</v>
      </c>
      <c r="E46" s="300" t="s">
        <v>621</v>
      </c>
      <c r="F46" s="1388">
        <v>1</v>
      </c>
      <c r="G46" s="1388" t="str">
        <f>CONCATENATE(D46,"*",F46,"*",F47)</f>
        <v>410*1*1,1</v>
      </c>
      <c r="H46" s="1393">
        <f>ROUND(D46*F46*F47,2)</f>
        <v>451</v>
      </c>
      <c r="I46" s="1445" t="s">
        <v>618</v>
      </c>
      <c r="J46" s="1438" t="s">
        <v>620</v>
      </c>
      <c r="K46" s="1438" t="s">
        <v>619</v>
      </c>
    </row>
    <row r="47" spans="1:11" ht="31.5" x14ac:dyDescent="0.25">
      <c r="A47" s="1935"/>
      <c r="B47" s="1937"/>
      <c r="C47" s="1939"/>
      <c r="D47" s="1941"/>
      <c r="E47" s="1371" t="s">
        <v>617</v>
      </c>
      <c r="F47" s="1389">
        <f>J47</f>
        <v>1.1000000000000001</v>
      </c>
      <c r="G47" s="1389"/>
      <c r="H47" s="1394"/>
      <c r="I47" s="1446">
        <v>1</v>
      </c>
      <c r="J47" s="1439">
        <v>1.1000000000000001</v>
      </c>
      <c r="K47" s="1439">
        <v>1.2</v>
      </c>
    </row>
    <row r="48" spans="1:11" ht="54" hidden="1" customHeight="1" x14ac:dyDescent="0.25">
      <c r="A48" s="263">
        <v>20</v>
      </c>
      <c r="B48" s="278" t="s">
        <v>580</v>
      </c>
      <c r="C48" s="1388" t="s">
        <v>579</v>
      </c>
      <c r="D48" s="1387">
        <v>455</v>
      </c>
      <c r="E48" s="300" t="s">
        <v>613</v>
      </c>
      <c r="F48" s="1388">
        <v>9</v>
      </c>
      <c r="G48" s="268" t="str">
        <f t="shared" ref="G48:G49" si="1">CONCATENATE(D48,"*",F48)</f>
        <v>455*9</v>
      </c>
      <c r="H48" s="269">
        <f>ROUND(D48*F48,2)*0</f>
        <v>0</v>
      </c>
    </row>
    <row r="49" spans="1:11" ht="47.25" x14ac:dyDescent="0.25">
      <c r="A49" s="263">
        <v>23</v>
      </c>
      <c r="B49" s="278" t="s">
        <v>647</v>
      </c>
      <c r="C49" s="1423" t="s">
        <v>579</v>
      </c>
      <c r="D49" s="1424">
        <v>410</v>
      </c>
      <c r="E49" s="300" t="s">
        <v>648</v>
      </c>
      <c r="F49" s="1423">
        <v>1</v>
      </c>
      <c r="G49" s="268" t="str">
        <f t="shared" si="1"/>
        <v>410*1</v>
      </c>
      <c r="H49" s="269">
        <f t="shared" ref="H49" si="2">ROUND(D49*F49,2)</f>
        <v>410</v>
      </c>
    </row>
    <row r="50" spans="1:11" ht="63" x14ac:dyDescent="0.25">
      <c r="A50" s="263">
        <v>24</v>
      </c>
      <c r="B50" s="278" t="s">
        <v>651</v>
      </c>
      <c r="C50" s="1388" t="s">
        <v>579</v>
      </c>
      <c r="D50" s="1387">
        <v>1860</v>
      </c>
      <c r="E50" s="300" t="s">
        <v>614</v>
      </c>
      <c r="F50" s="1388">
        <v>9</v>
      </c>
      <c r="G50" s="268" t="str">
        <f t="shared" ref="G50" si="3">CONCATENATE(D50,"*",F50)</f>
        <v>1860*9</v>
      </c>
      <c r="H50" s="269">
        <f t="shared" ref="H50" si="4">ROUND(D50*F50,2)</f>
        <v>16740</v>
      </c>
    </row>
    <row r="51" spans="1:11" ht="42.75" customHeight="1" x14ac:dyDescent="0.25">
      <c r="A51" s="1934">
        <v>25</v>
      </c>
      <c r="B51" s="1936" t="s">
        <v>113</v>
      </c>
      <c r="C51" s="1938" t="s">
        <v>577</v>
      </c>
      <c r="D51" s="1940">
        <v>1648</v>
      </c>
      <c r="E51" s="300" t="s">
        <v>616</v>
      </c>
      <c r="F51" s="1388">
        <v>1</v>
      </c>
      <c r="G51" s="1388" t="str">
        <f>CONCATENATE(D51,"*",F51,"*",F52)</f>
        <v>1648*1*1,1</v>
      </c>
      <c r="H51" s="1393">
        <f>ROUND(D51*F51*F52,2)</f>
        <v>1812.8</v>
      </c>
      <c r="I51" s="1447"/>
      <c r="J51" s="965"/>
      <c r="K51" s="965"/>
    </row>
    <row r="52" spans="1:11" ht="31.5" x14ac:dyDescent="0.25">
      <c r="A52" s="1935"/>
      <c r="B52" s="1937"/>
      <c r="C52" s="1939"/>
      <c r="D52" s="1941"/>
      <c r="E52" s="1371" t="s">
        <v>617</v>
      </c>
      <c r="F52" s="1389">
        <f>F47</f>
        <v>1.1000000000000001</v>
      </c>
      <c r="G52" s="1389"/>
      <c r="H52" s="1391"/>
    </row>
    <row r="53" spans="1:11" ht="42.75" customHeight="1" x14ac:dyDescent="0.25">
      <c r="A53" s="1934">
        <v>26</v>
      </c>
      <c r="B53" s="1936" t="s">
        <v>622</v>
      </c>
      <c r="C53" s="1938" t="s">
        <v>577</v>
      </c>
      <c r="D53" s="1940">
        <v>1757</v>
      </c>
      <c r="E53" s="300" t="s">
        <v>623</v>
      </c>
      <c r="F53" s="1388">
        <v>1</v>
      </c>
      <c r="G53" s="1388" t="str">
        <f>CONCATENATE(D53,"*",F53,"*",F54)</f>
        <v>1757*1*1,1</v>
      </c>
      <c r="H53" s="1393">
        <f>ROUND(D53*F53*F54,2)</f>
        <v>1932.7</v>
      </c>
      <c r="I53" s="1447"/>
      <c r="J53" s="965"/>
      <c r="K53" s="965"/>
    </row>
    <row r="54" spans="1:11" ht="31.5" x14ac:dyDescent="0.25">
      <c r="A54" s="1935"/>
      <c r="B54" s="1937"/>
      <c r="C54" s="1939"/>
      <c r="D54" s="1941"/>
      <c r="E54" s="1371" t="s">
        <v>617</v>
      </c>
      <c r="F54" s="1389">
        <f>F47</f>
        <v>1.1000000000000001</v>
      </c>
      <c r="G54" s="1389"/>
      <c r="H54" s="1391"/>
    </row>
    <row r="55" spans="1:11" ht="42.75" customHeight="1" x14ac:dyDescent="0.25">
      <c r="A55" s="1934">
        <v>27</v>
      </c>
      <c r="B55" s="1936" t="s">
        <v>114</v>
      </c>
      <c r="C55" s="1938" t="s">
        <v>577</v>
      </c>
      <c r="D55" s="1940">
        <v>439</v>
      </c>
      <c r="E55" s="300" t="s">
        <v>624</v>
      </c>
      <c r="F55" s="1388">
        <v>1</v>
      </c>
      <c r="G55" s="1388" t="str">
        <f>CONCATENATE(D55,"*",F55,"*",F56)</f>
        <v>439*1*1,1</v>
      </c>
      <c r="H55" s="1393">
        <f>ROUND(D55*F55*F56,2)</f>
        <v>482.9</v>
      </c>
      <c r="I55" s="1447"/>
      <c r="J55" s="965"/>
      <c r="K55" s="965"/>
    </row>
    <row r="56" spans="1:11" ht="31.5" x14ac:dyDescent="0.25">
      <c r="A56" s="1935"/>
      <c r="B56" s="1937"/>
      <c r="C56" s="1939"/>
      <c r="D56" s="1941"/>
      <c r="E56" s="1371" t="s">
        <v>617</v>
      </c>
      <c r="F56" s="1389">
        <f>F47</f>
        <v>1.1000000000000001</v>
      </c>
      <c r="G56" s="1389"/>
      <c r="H56" s="1391"/>
    </row>
    <row r="57" spans="1:11" s="58" customFormat="1" ht="27.75" hidden="1" customHeight="1" x14ac:dyDescent="0.25">
      <c r="A57" s="1398"/>
      <c r="B57" s="1399" t="s">
        <v>626</v>
      </c>
      <c r="C57" s="1400"/>
      <c r="D57" s="1401"/>
      <c r="E57" s="1402"/>
      <c r="F57" s="1403"/>
      <c r="G57" s="1404"/>
      <c r="H57" s="1393"/>
      <c r="I57" s="1442" t="s">
        <v>628</v>
      </c>
    </row>
    <row r="58" spans="1:11" ht="47.25" hidden="1" customHeight="1" x14ac:dyDescent="0.25">
      <c r="A58" s="1934">
        <v>28</v>
      </c>
      <c r="B58" s="1936" t="s">
        <v>615</v>
      </c>
      <c r="C58" s="1938" t="s">
        <v>577</v>
      </c>
      <c r="D58" s="1940">
        <v>410</v>
      </c>
      <c r="E58" s="300" t="s">
        <v>621</v>
      </c>
      <c r="F58" s="1388">
        <v>1</v>
      </c>
      <c r="G58" s="1388" t="str">
        <f>CONCATENATE(D58,"*",F58,"*",F59)</f>
        <v>410*1*1</v>
      </c>
      <c r="H58" s="1393">
        <f>ROUND(D58*F58*F59,2)*0</f>
        <v>0</v>
      </c>
      <c r="I58" s="1445" t="s">
        <v>618</v>
      </c>
      <c r="J58" s="1438" t="s">
        <v>620</v>
      </c>
      <c r="K58" s="1438" t="s">
        <v>619</v>
      </c>
    </row>
    <row r="59" spans="1:11" ht="31.5" hidden="1" x14ac:dyDescent="0.25">
      <c r="A59" s="1935"/>
      <c r="B59" s="1937"/>
      <c r="C59" s="1939"/>
      <c r="D59" s="1941"/>
      <c r="E59" s="1371" t="s">
        <v>617</v>
      </c>
      <c r="F59" s="1389">
        <f>I59</f>
        <v>1</v>
      </c>
      <c r="G59" s="1389"/>
      <c r="H59" s="1394"/>
      <c r="I59" s="1446">
        <v>1</v>
      </c>
      <c r="J59" s="1439">
        <v>1.1000000000000001</v>
      </c>
      <c r="K59" s="1439">
        <v>1.2</v>
      </c>
    </row>
    <row r="60" spans="1:11" ht="54" hidden="1" customHeight="1" x14ac:dyDescent="0.25">
      <c r="A60" s="263">
        <v>20</v>
      </c>
      <c r="B60" s="278" t="s">
        <v>580</v>
      </c>
      <c r="C60" s="1388" t="s">
        <v>579</v>
      </c>
      <c r="D60" s="1387">
        <v>455</v>
      </c>
      <c r="E60" s="300" t="s">
        <v>613</v>
      </c>
      <c r="F60" s="1388">
        <v>5</v>
      </c>
      <c r="G60" s="268" t="str">
        <f t="shared" ref="G60:G62" si="5">CONCATENATE(D60,"*",F60)</f>
        <v>455*5</v>
      </c>
      <c r="H60" s="269">
        <f>ROUND(D60*F60,2)*0</f>
        <v>0</v>
      </c>
    </row>
    <row r="61" spans="1:11" ht="47.25" hidden="1" x14ac:dyDescent="0.25">
      <c r="A61" s="263">
        <v>29</v>
      </c>
      <c r="B61" s="278" t="s">
        <v>647</v>
      </c>
      <c r="C61" s="1423" t="s">
        <v>579</v>
      </c>
      <c r="D61" s="1424">
        <v>410</v>
      </c>
      <c r="E61" s="300" t="s">
        <v>648</v>
      </c>
      <c r="F61" s="1423">
        <v>1</v>
      </c>
      <c r="G61" s="268" t="str">
        <f t="shared" si="5"/>
        <v>410*1</v>
      </c>
      <c r="H61" s="269">
        <f>ROUND(D61*F61,2)*0</f>
        <v>0</v>
      </c>
    </row>
    <row r="62" spans="1:11" ht="63" hidden="1" x14ac:dyDescent="0.25">
      <c r="A62" s="263">
        <v>30</v>
      </c>
      <c r="B62" s="278" t="s">
        <v>651</v>
      </c>
      <c r="C62" s="1388" t="s">
        <v>579</v>
      </c>
      <c r="D62" s="1387">
        <v>1860</v>
      </c>
      <c r="E62" s="300" t="s">
        <v>614</v>
      </c>
      <c r="F62" s="1457">
        <v>3</v>
      </c>
      <c r="G62" s="268" t="str">
        <f t="shared" si="5"/>
        <v>1860*3</v>
      </c>
      <c r="H62" s="269">
        <f>ROUND(D62*F62,2)*0</f>
        <v>0</v>
      </c>
    </row>
    <row r="63" spans="1:11" ht="42.75" hidden="1" customHeight="1" x14ac:dyDescent="0.25">
      <c r="A63" s="1934">
        <v>31</v>
      </c>
      <c r="B63" s="1936" t="s">
        <v>113</v>
      </c>
      <c r="C63" s="1938" t="s">
        <v>577</v>
      </c>
      <c r="D63" s="1940">
        <v>1648</v>
      </c>
      <c r="E63" s="300" t="s">
        <v>616</v>
      </c>
      <c r="F63" s="1388">
        <v>1</v>
      </c>
      <c r="G63" s="1388" t="str">
        <f>CONCATENATE(D63,"*",F63,"*",F64)</f>
        <v>1648*1*1</v>
      </c>
      <c r="H63" s="1461">
        <f>ROUND(D63*F63*F64,2)*0</f>
        <v>0</v>
      </c>
      <c r="I63" s="1447"/>
      <c r="J63" s="965"/>
      <c r="K63" s="965"/>
    </row>
    <row r="64" spans="1:11" ht="31.5" hidden="1" x14ac:dyDescent="0.25">
      <c r="A64" s="1935"/>
      <c r="B64" s="1937"/>
      <c r="C64" s="1939"/>
      <c r="D64" s="1941"/>
      <c r="E64" s="1371" t="s">
        <v>617</v>
      </c>
      <c r="F64" s="1389">
        <f>F59</f>
        <v>1</v>
      </c>
      <c r="G64" s="1389"/>
      <c r="H64" s="1462"/>
    </row>
    <row r="65" spans="1:11" ht="42.75" hidden="1" customHeight="1" x14ac:dyDescent="0.25">
      <c r="A65" s="1934">
        <v>32</v>
      </c>
      <c r="B65" s="1936" t="s">
        <v>622</v>
      </c>
      <c r="C65" s="1938" t="s">
        <v>577</v>
      </c>
      <c r="D65" s="1940">
        <v>1757</v>
      </c>
      <c r="E65" s="300" t="s">
        <v>623</v>
      </c>
      <c r="F65" s="1388">
        <v>1</v>
      </c>
      <c r="G65" s="1388" t="str">
        <f>CONCATENATE(D65,"*",F65,"*",F66)</f>
        <v>1757*1*1</v>
      </c>
      <c r="H65" s="1461">
        <f>ROUND(D65*F65*F66,2)*0</f>
        <v>0</v>
      </c>
      <c r="I65" s="1447"/>
      <c r="J65" s="965"/>
      <c r="K65" s="965"/>
    </row>
    <row r="66" spans="1:11" ht="31.5" hidden="1" x14ac:dyDescent="0.25">
      <c r="A66" s="1935"/>
      <c r="B66" s="1937"/>
      <c r="C66" s="1939"/>
      <c r="D66" s="1941"/>
      <c r="E66" s="1371" t="s">
        <v>617</v>
      </c>
      <c r="F66" s="1389">
        <f>F59</f>
        <v>1</v>
      </c>
      <c r="G66" s="1389"/>
      <c r="H66" s="1391"/>
    </row>
    <row r="67" spans="1:11" ht="39.75" hidden="1" customHeight="1" x14ac:dyDescent="0.25">
      <c r="A67" s="1934">
        <v>33</v>
      </c>
      <c r="B67" s="1936" t="s">
        <v>114</v>
      </c>
      <c r="C67" s="1938" t="s">
        <v>577</v>
      </c>
      <c r="D67" s="1940">
        <v>439</v>
      </c>
      <c r="E67" s="300" t="s">
        <v>624</v>
      </c>
      <c r="F67" s="1388">
        <v>1</v>
      </c>
      <c r="G67" s="1388" t="str">
        <f>CONCATENATE(D67,"*",F67,"*",F68)</f>
        <v>439*1*1</v>
      </c>
      <c r="H67" s="1461">
        <f>ROUND(D67*F67*F68,2)*0</f>
        <v>0</v>
      </c>
      <c r="I67" s="1447"/>
      <c r="J67" s="965"/>
      <c r="K67" s="965"/>
    </row>
    <row r="68" spans="1:11" ht="30" hidden="1" customHeight="1" x14ac:dyDescent="0.25">
      <c r="A68" s="1935"/>
      <c r="B68" s="1937"/>
      <c r="C68" s="1939"/>
      <c r="D68" s="1941"/>
      <c r="E68" s="1371" t="s">
        <v>617</v>
      </c>
      <c r="F68" s="1389">
        <f>F59</f>
        <v>1</v>
      </c>
      <c r="G68" s="1389"/>
      <c r="H68" s="1391"/>
    </row>
    <row r="69" spans="1:11" ht="27.75" customHeight="1" x14ac:dyDescent="0.25">
      <c r="A69" s="263"/>
      <c r="B69" s="315" t="s">
        <v>625</v>
      </c>
      <c r="C69" s="267"/>
      <c r="D69" s="266"/>
      <c r="E69" s="267"/>
      <c r="F69" s="268"/>
      <c r="G69" s="268"/>
      <c r="H69" s="275">
        <f>SUM(H18:H68)</f>
        <v>67678.009999999995</v>
      </c>
    </row>
    <row r="70" spans="1:11" ht="27.75" customHeight="1" x14ac:dyDescent="0.25">
      <c r="A70" s="263"/>
      <c r="B70" s="267" t="s">
        <v>44</v>
      </c>
      <c r="C70" s="301">
        <v>9.7000000000000003E-3</v>
      </c>
      <c r="D70" s="302"/>
      <c r="E70" s="267" t="s">
        <v>627</v>
      </c>
      <c r="F70" s="268"/>
      <c r="G70" s="303" t="str">
        <f>CONCATENATE(H69,"*",C70)</f>
        <v>67678,01*0,0097</v>
      </c>
      <c r="H70" s="276">
        <f>ROUND(H69*0.0097,2)</f>
        <v>656.48</v>
      </c>
    </row>
    <row r="71" spans="1:11" ht="27.75" customHeight="1" x14ac:dyDescent="0.25">
      <c r="A71" s="263"/>
      <c r="B71" s="315" t="s">
        <v>96</v>
      </c>
      <c r="C71" s="267"/>
      <c r="D71" s="266"/>
      <c r="E71" s="267"/>
      <c r="F71" s="268"/>
      <c r="G71" s="268" t="str">
        <f>CONCATENATE(H69," + ",H70)</f>
        <v>67678,01 + 656,48</v>
      </c>
      <c r="H71" s="275">
        <f>ROUND(H69+H70,2)</f>
        <v>68334.490000000005</v>
      </c>
    </row>
    <row r="72" spans="1:11" ht="27.75" customHeight="1" x14ac:dyDescent="0.25">
      <c r="A72" s="263"/>
      <c r="B72" s="267" t="s">
        <v>45</v>
      </c>
      <c r="C72" s="301">
        <v>1.11E-2</v>
      </c>
      <c r="D72" s="302"/>
      <c r="E72" s="267" t="s">
        <v>629</v>
      </c>
      <c r="F72" s="303"/>
      <c r="G72" s="303" t="str">
        <f>CONCATENATE(H71,"*",C72)</f>
        <v>68334,49*0,0111</v>
      </c>
      <c r="H72" s="276">
        <f>ROUND(H71*C72,2)</f>
        <v>758.51</v>
      </c>
    </row>
    <row r="73" spans="1:11" ht="27.75" customHeight="1" x14ac:dyDescent="0.25">
      <c r="A73" s="263"/>
      <c r="B73" s="267" t="s">
        <v>641</v>
      </c>
      <c r="C73" s="301">
        <v>2.5700000000000001E-2</v>
      </c>
      <c r="D73" s="302"/>
      <c r="E73" s="267" t="s">
        <v>630</v>
      </c>
      <c r="F73" s="303">
        <v>5</v>
      </c>
      <c r="G73" s="303" t="str">
        <f>CONCATENATE(H71,"*",C73,)</f>
        <v>68334,49*0,0257</v>
      </c>
      <c r="H73" s="276">
        <f>ROUND(H71*C73,2)</f>
        <v>1756.2</v>
      </c>
    </row>
    <row r="74" spans="1:11" s="1440" customFormat="1" ht="43.5" customHeight="1" thickBot="1" x14ac:dyDescent="0.3">
      <c r="A74" s="1411"/>
      <c r="B74" s="1412" t="s">
        <v>46</v>
      </c>
      <c r="C74" s="1412"/>
      <c r="D74" s="1413"/>
      <c r="E74" s="1412"/>
      <c r="F74" s="1414"/>
      <c r="G74" s="1414" t="str">
        <f>CONCATENATE(H71," + ",H72,"+",H73," + ",H17)</f>
        <v>68334,49 + 758,51+1756,2 + 2146</v>
      </c>
      <c r="H74" s="316">
        <f>ROUND(H71+H72+H73+H17,2)</f>
        <v>72995.199999999997</v>
      </c>
      <c r="I74" s="1441"/>
    </row>
    <row r="75" spans="1:11" x14ac:dyDescent="0.25">
      <c r="A75" s="304"/>
      <c r="B75" s="305"/>
      <c r="C75" s="305"/>
      <c r="D75" s="305"/>
      <c r="E75" s="306"/>
      <c r="F75" s="963"/>
      <c r="G75" s="963"/>
      <c r="H75" s="79"/>
    </row>
    <row r="76" spans="1:11" x14ac:dyDescent="0.25">
      <c r="A76" s="304"/>
      <c r="B76" s="305"/>
      <c r="C76" s="305"/>
      <c r="D76" s="305"/>
      <c r="E76" s="306"/>
      <c r="F76" s="963"/>
      <c r="G76" s="963"/>
      <c r="H76" s="79"/>
    </row>
    <row r="77" spans="1:11" x14ac:dyDescent="0.25">
      <c r="A77" s="136"/>
      <c r="B77" s="136"/>
      <c r="C77" s="136"/>
      <c r="D77" s="308"/>
      <c r="E77" s="136"/>
      <c r="F77" s="309"/>
      <c r="G77" s="136"/>
      <c r="H77" s="308"/>
    </row>
  </sheetData>
  <mergeCells count="41">
    <mergeCell ref="B14:C14"/>
    <mergeCell ref="A13:H13"/>
    <mergeCell ref="F1:H1"/>
    <mergeCell ref="F2:H2"/>
    <mergeCell ref="A5:H5"/>
    <mergeCell ref="A8:H8"/>
    <mergeCell ref="A10:H10"/>
    <mergeCell ref="A11:H11"/>
    <mergeCell ref="A9:H9"/>
    <mergeCell ref="D51:D52"/>
    <mergeCell ref="C51:C52"/>
    <mergeCell ref="B51:B52"/>
    <mergeCell ref="A51:A52"/>
    <mergeCell ref="D46:D47"/>
    <mergeCell ref="C46:C47"/>
    <mergeCell ref="B46:B47"/>
    <mergeCell ref="A46:A47"/>
    <mergeCell ref="A53:A54"/>
    <mergeCell ref="B53:B54"/>
    <mergeCell ref="C53:C54"/>
    <mergeCell ref="D53:D54"/>
    <mergeCell ref="A55:A56"/>
    <mergeCell ref="B55:B56"/>
    <mergeCell ref="C55:C56"/>
    <mergeCell ref="D55:D56"/>
    <mergeCell ref="A58:A59"/>
    <mergeCell ref="B58:B59"/>
    <mergeCell ref="C58:C59"/>
    <mergeCell ref="D58:D59"/>
    <mergeCell ref="A63:A64"/>
    <mergeCell ref="B63:B64"/>
    <mergeCell ref="C63:C64"/>
    <mergeCell ref="D63:D64"/>
    <mergeCell ref="A65:A66"/>
    <mergeCell ref="B65:B66"/>
    <mergeCell ref="C65:C66"/>
    <mergeCell ref="D65:D66"/>
    <mergeCell ref="A67:A68"/>
    <mergeCell ref="B67:B68"/>
    <mergeCell ref="C67:C68"/>
    <mergeCell ref="D67:D68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3" fitToHeight="2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8"/>
  <sheetViews>
    <sheetView view="pageBreakPreview" topLeftCell="A23" zoomScale="90" zoomScaleNormal="100" zoomScaleSheetLayoutView="90" workbookViewId="0">
      <selection activeCell="H46" sqref="H46"/>
    </sheetView>
  </sheetViews>
  <sheetFormatPr defaultColWidth="9.140625" defaultRowHeight="15" x14ac:dyDescent="0.2"/>
  <cols>
    <col min="1" max="1" width="6.28515625" style="254" customWidth="1"/>
    <col min="2" max="2" width="43.42578125" style="254" customWidth="1"/>
    <col min="3" max="3" width="18.28515625" style="254" customWidth="1"/>
    <col min="4" max="4" width="12.140625" style="254" customWidth="1"/>
    <col min="5" max="5" width="23.85546875" style="254" customWidth="1"/>
    <col min="6" max="6" width="9.28515625" style="254" bestFit="1" customWidth="1"/>
    <col min="7" max="7" width="26.28515625" style="254" customWidth="1"/>
    <col min="8" max="8" width="14.28515625" style="254" customWidth="1"/>
    <col min="9" max="9" width="8.28515625" style="254" customWidth="1"/>
    <col min="10" max="10" width="10.28515625" style="254" customWidth="1"/>
    <col min="11" max="11" width="11.5703125" style="254" customWidth="1"/>
    <col min="12" max="16384" width="9.140625" style="254"/>
  </cols>
  <sheetData>
    <row r="1" spans="1:9" ht="15.75" hidden="1" x14ac:dyDescent="0.2">
      <c r="A1" s="253"/>
      <c r="B1" s="253"/>
      <c r="C1" s="253"/>
      <c r="D1" s="253"/>
      <c r="E1" s="253"/>
      <c r="F1" s="1947" t="s">
        <v>48</v>
      </c>
      <c r="G1" s="1947"/>
      <c r="H1" s="1947"/>
    </row>
    <row r="2" spans="1:9" ht="15.75" hidden="1" x14ac:dyDescent="0.2">
      <c r="A2" s="136"/>
      <c r="B2" s="136"/>
      <c r="C2" s="136"/>
      <c r="D2" s="255"/>
      <c r="E2" s="136"/>
      <c r="F2" s="1947" t="s">
        <v>80</v>
      </c>
      <c r="G2" s="1947"/>
      <c r="H2" s="1947"/>
    </row>
    <row r="3" spans="1:9" ht="15.75" hidden="1" x14ac:dyDescent="0.2">
      <c r="A3" s="136"/>
      <c r="B3" s="136"/>
      <c r="C3" s="136"/>
      <c r="D3" s="255"/>
      <c r="E3" s="136"/>
      <c r="F3" s="699" t="s">
        <v>81</v>
      </c>
      <c r="G3" s="701"/>
      <c r="H3" s="258"/>
    </row>
    <row r="4" spans="1:9" ht="15.75" x14ac:dyDescent="0.2">
      <c r="A4" s="136"/>
      <c r="B4" s="136"/>
      <c r="C4" s="136"/>
      <c r="D4" s="255"/>
      <c r="E4" s="136"/>
      <c r="F4" s="699"/>
      <c r="G4" s="701"/>
      <c r="H4" s="258"/>
    </row>
    <row r="5" spans="1:9" ht="15.75" x14ac:dyDescent="0.2">
      <c r="A5" s="1948" t="s">
        <v>82</v>
      </c>
      <c r="B5" s="1948"/>
      <c r="C5" s="1948"/>
      <c r="D5" s="1948"/>
      <c r="E5" s="1948"/>
      <c r="F5" s="1948"/>
      <c r="G5" s="1948"/>
      <c r="H5" s="1948"/>
    </row>
    <row r="6" spans="1:9" ht="15.75" x14ac:dyDescent="0.2">
      <c r="A6" s="700"/>
      <c r="B6" s="700"/>
      <c r="C6" s="700"/>
      <c r="D6" s="700"/>
      <c r="E6" s="700"/>
      <c r="F6" s="700"/>
      <c r="G6" s="700"/>
      <c r="H6" s="700"/>
    </row>
    <row r="7" spans="1:9" ht="35.25" customHeight="1" x14ac:dyDescent="0.2">
      <c r="A7" s="1949" t="str">
        <f>' ССР (нов)'!A6:G6</f>
        <v xml:space="preserve">Реконструкция теплового ввода </v>
      </c>
      <c r="B7" s="1949"/>
      <c r="C7" s="1949"/>
      <c r="D7" s="1949"/>
      <c r="E7" s="1949"/>
      <c r="F7" s="1949"/>
      <c r="G7" s="1949"/>
      <c r="H7" s="1949"/>
    </row>
    <row r="8" spans="1:9" ht="28.5" customHeight="1" x14ac:dyDescent="0.2">
      <c r="A8" s="1950" t="str">
        <f>' ССР (нов)'!A7:G7</f>
        <v>г. Москва , ул. Мневники д.4</v>
      </c>
      <c r="B8" s="1950"/>
      <c r="C8" s="1950"/>
      <c r="D8" s="1950"/>
      <c r="E8" s="1950"/>
      <c r="F8" s="1950"/>
      <c r="G8" s="1950"/>
      <c r="H8" s="1950"/>
    </row>
    <row r="9" spans="1:9" ht="25.5" customHeight="1" x14ac:dyDescent="0.2">
      <c r="A9" s="1950" t="s">
        <v>632</v>
      </c>
      <c r="B9" s="1950"/>
      <c r="C9" s="1950"/>
      <c r="D9" s="1950"/>
      <c r="E9" s="1950"/>
      <c r="F9" s="1950"/>
      <c r="G9" s="1950"/>
      <c r="H9" s="1950"/>
    </row>
    <row r="10" spans="1:9" ht="15.75" x14ac:dyDescent="0.2">
      <c r="A10" s="701"/>
      <c r="B10" s="224"/>
      <c r="C10" s="224"/>
      <c r="D10" s="261"/>
      <c r="E10" s="224"/>
      <c r="F10" s="262"/>
      <c r="G10" s="224"/>
      <c r="H10" s="261"/>
    </row>
    <row r="11" spans="1:9" ht="36" customHeight="1" thickBot="1" x14ac:dyDescent="0.25">
      <c r="A11" s="1959" t="s">
        <v>669</v>
      </c>
      <c r="B11" s="1960"/>
      <c r="C11" s="1960"/>
      <c r="D11" s="1960"/>
      <c r="E11" s="1960"/>
      <c r="F11" s="1960"/>
      <c r="G11" s="1960"/>
      <c r="H11" s="1961"/>
    </row>
    <row r="12" spans="1:9" s="314" customFormat="1" ht="24.75" thickBot="1" x14ac:dyDescent="0.25">
      <c r="A12" s="310" t="s">
        <v>31</v>
      </c>
      <c r="B12" s="1942" t="s">
        <v>32</v>
      </c>
      <c r="C12" s="1943"/>
      <c r="D12" s="311" t="s">
        <v>33</v>
      </c>
      <c r="E12" s="311" t="s">
        <v>34</v>
      </c>
      <c r="F12" s="312" t="s">
        <v>35</v>
      </c>
      <c r="G12" s="311" t="s">
        <v>0</v>
      </c>
      <c r="H12" s="313" t="s">
        <v>36</v>
      </c>
    </row>
    <row r="13" spans="1:9" s="1421" customFormat="1" ht="47.25" x14ac:dyDescent="0.2">
      <c r="A13" s="263">
        <v>1</v>
      </c>
      <c r="B13" s="1419" t="s">
        <v>84</v>
      </c>
      <c r="C13" s="265" t="s">
        <v>97</v>
      </c>
      <c r="D13" s="266">
        <v>1326</v>
      </c>
      <c r="E13" s="267" t="s">
        <v>582</v>
      </c>
      <c r="F13" s="268">
        <v>1</v>
      </c>
      <c r="G13" s="268" t="str">
        <f>CONCATENATE(D13,"*",F13)</f>
        <v>1326*1</v>
      </c>
      <c r="H13" s="269">
        <f>ROUND(D13*F13,2)</f>
        <v>1326</v>
      </c>
      <c r="I13" s="1420"/>
    </row>
    <row r="14" spans="1:9" ht="15.75" x14ac:dyDescent="0.2">
      <c r="A14" s="263"/>
      <c r="B14" s="271" t="s">
        <v>85</v>
      </c>
      <c r="C14" s="267"/>
      <c r="D14" s="272"/>
      <c r="E14" s="267"/>
      <c r="F14" s="273"/>
      <c r="G14" s="274"/>
      <c r="H14" s="275">
        <f>SUM(H13:H13)</f>
        <v>1326</v>
      </c>
      <c r="I14" s="270"/>
    </row>
    <row r="15" spans="1:9" ht="78.75" x14ac:dyDescent="0.2">
      <c r="A15" s="282">
        <v>2</v>
      </c>
      <c r="B15" s="1352" t="s">
        <v>576</v>
      </c>
      <c r="C15" s="284" t="s">
        <v>41</v>
      </c>
      <c r="D15" s="285">
        <v>122</v>
      </c>
      <c r="E15" s="286" t="s">
        <v>587</v>
      </c>
      <c r="F15" s="287">
        <f>Т.с.!C78/1000</f>
        <v>1.78E-2</v>
      </c>
      <c r="G15" s="266">
        <f>D15</f>
        <v>122</v>
      </c>
      <c r="H15" s="276">
        <f>G15</f>
        <v>122</v>
      </c>
      <c r="I15" s="270"/>
    </row>
    <row r="16" spans="1:9" s="1377" customFormat="1" ht="27.75" customHeight="1" x14ac:dyDescent="0.2">
      <c r="A16" s="1381"/>
      <c r="B16" s="1380" t="s">
        <v>612</v>
      </c>
      <c r="C16" s="1382"/>
      <c r="D16" s="1363"/>
      <c r="E16" s="1364"/>
      <c r="F16" s="1383"/>
      <c r="G16" s="1384"/>
      <c r="H16" s="269"/>
    </row>
    <row r="17" spans="1:11" s="1377" customFormat="1" ht="26.25" customHeight="1" x14ac:dyDescent="0.25">
      <c r="A17" s="1398"/>
      <c r="B17" s="1399" t="s">
        <v>55</v>
      </c>
      <c r="C17" s="1400"/>
      <c r="D17" s="1401"/>
      <c r="E17" s="1402"/>
      <c r="F17" s="1403"/>
      <c r="G17" s="1404"/>
      <c r="H17" s="1393"/>
      <c r="I17" s="1405" t="s">
        <v>628</v>
      </c>
    </row>
    <row r="18" spans="1:11" ht="39.75" customHeight="1" x14ac:dyDescent="0.2">
      <c r="A18" s="1934">
        <v>3</v>
      </c>
      <c r="B18" s="1936" t="s">
        <v>615</v>
      </c>
      <c r="C18" s="1938" t="s">
        <v>577</v>
      </c>
      <c r="D18" s="1940">
        <v>410</v>
      </c>
      <c r="E18" s="300" t="s">
        <v>621</v>
      </c>
      <c r="F18" s="298">
        <v>1</v>
      </c>
      <c r="G18" s="298" t="str">
        <f>CONCATENATE(D18,"*",F18,"*",F19)</f>
        <v>410*1*1,1</v>
      </c>
      <c r="H18" s="1393">
        <f>ROUND(D18*F18*F19,2)</f>
        <v>451</v>
      </c>
      <c r="I18" s="1396" t="s">
        <v>618</v>
      </c>
      <c r="J18" s="1396" t="s">
        <v>620</v>
      </c>
      <c r="K18" s="1396" t="s">
        <v>619</v>
      </c>
    </row>
    <row r="19" spans="1:11" ht="31.5" x14ac:dyDescent="0.2">
      <c r="A19" s="1935"/>
      <c r="B19" s="1937"/>
      <c r="C19" s="1939"/>
      <c r="D19" s="1941"/>
      <c r="E19" s="1371" t="s">
        <v>617</v>
      </c>
      <c r="F19" s="1361">
        <f>J19</f>
        <v>1.1000000000000001</v>
      </c>
      <c r="G19" s="1361"/>
      <c r="H19" s="1394"/>
      <c r="I19" s="1395">
        <v>1</v>
      </c>
      <c r="J19" s="1395">
        <v>1.1000000000000001</v>
      </c>
      <c r="K19" s="1395">
        <v>1.2</v>
      </c>
    </row>
    <row r="20" spans="1:11" ht="42" hidden="1" customHeight="1" x14ac:dyDescent="0.2">
      <c r="A20" s="263">
        <v>4</v>
      </c>
      <c r="B20" s="278" t="s">
        <v>580</v>
      </c>
      <c r="C20" s="298" t="s">
        <v>579</v>
      </c>
      <c r="D20" s="299">
        <v>455</v>
      </c>
      <c r="E20" s="300" t="s">
        <v>613</v>
      </c>
      <c r="F20" s="298">
        <v>9</v>
      </c>
      <c r="G20" s="268" t="str">
        <f t="shared" ref="G20:G22" si="0">CONCATENATE(D20,"*",F20)</f>
        <v>455*9</v>
      </c>
      <c r="H20" s="269">
        <f>ROUND(D20*F20,2)*0</f>
        <v>0</v>
      </c>
    </row>
    <row r="21" spans="1:11" s="1137" customFormat="1" ht="36.75" customHeight="1" x14ac:dyDescent="0.25">
      <c r="A21" s="263">
        <v>5</v>
      </c>
      <c r="B21" s="278" t="s">
        <v>647</v>
      </c>
      <c r="C21" s="1423" t="s">
        <v>579</v>
      </c>
      <c r="D21" s="1424">
        <v>410</v>
      </c>
      <c r="E21" s="300" t="s">
        <v>648</v>
      </c>
      <c r="F21" s="1423">
        <v>1</v>
      </c>
      <c r="G21" s="268" t="str">
        <f t="shared" si="0"/>
        <v>410*1</v>
      </c>
      <c r="H21" s="269">
        <f t="shared" ref="H21:H22" si="1">ROUND(D21*F21,2)</f>
        <v>410</v>
      </c>
      <c r="I21" s="1441" t="s">
        <v>644</v>
      </c>
    </row>
    <row r="22" spans="1:11" ht="54.75" customHeight="1" x14ac:dyDescent="0.2">
      <c r="A22" s="263">
        <v>6</v>
      </c>
      <c r="B22" s="278" t="s">
        <v>667</v>
      </c>
      <c r="C22" s="298" t="s">
        <v>579</v>
      </c>
      <c r="D22" s="299">
        <v>1860</v>
      </c>
      <c r="E22" s="300" t="s">
        <v>614</v>
      </c>
      <c r="F22" s="298">
        <v>9</v>
      </c>
      <c r="G22" s="268" t="str">
        <f t="shared" si="0"/>
        <v>1860*9</v>
      </c>
      <c r="H22" s="269">
        <f t="shared" si="1"/>
        <v>16740</v>
      </c>
      <c r="I22" s="1441"/>
    </row>
    <row r="23" spans="1:11" ht="37.5" customHeight="1" x14ac:dyDescent="0.2">
      <c r="A23" s="1934">
        <v>7</v>
      </c>
      <c r="B23" s="1936" t="s">
        <v>113</v>
      </c>
      <c r="C23" s="1938" t="s">
        <v>577</v>
      </c>
      <c r="D23" s="1940">
        <v>1648</v>
      </c>
      <c r="E23" s="300" t="s">
        <v>616</v>
      </c>
      <c r="F23" s="298">
        <v>1</v>
      </c>
      <c r="G23" s="298" t="str">
        <f>CONCATENATE(D23,"*",F23,"*",F24)</f>
        <v>1648*1*1,1</v>
      </c>
      <c r="H23" s="1393">
        <f>ROUND(D23*F23*F24,2)</f>
        <v>1812.8</v>
      </c>
      <c r="I23" s="1392"/>
      <c r="J23" s="1392"/>
      <c r="K23" s="1392"/>
    </row>
    <row r="24" spans="1:11" ht="31.5" x14ac:dyDescent="0.2">
      <c r="A24" s="1935"/>
      <c r="B24" s="1937"/>
      <c r="C24" s="1939"/>
      <c r="D24" s="1941"/>
      <c r="E24" s="1371" t="s">
        <v>617</v>
      </c>
      <c r="F24" s="1361">
        <f>F19</f>
        <v>1.1000000000000001</v>
      </c>
      <c r="G24" s="1361"/>
      <c r="H24" s="1391"/>
    </row>
    <row r="25" spans="1:11" ht="42.75" customHeight="1" x14ac:dyDescent="0.2">
      <c r="A25" s="1934">
        <v>8</v>
      </c>
      <c r="B25" s="1936" t="s">
        <v>622</v>
      </c>
      <c r="C25" s="1938" t="s">
        <v>577</v>
      </c>
      <c r="D25" s="1940">
        <v>1757</v>
      </c>
      <c r="E25" s="300" t="s">
        <v>623</v>
      </c>
      <c r="F25" s="298">
        <v>1</v>
      </c>
      <c r="G25" s="298" t="str">
        <f>CONCATENATE(D25,"*",F25,"*",F26)</f>
        <v>1757*1*1,1</v>
      </c>
      <c r="H25" s="1393">
        <f>ROUND(D25*F25*F26,2)</f>
        <v>1932.7</v>
      </c>
      <c r="I25" s="1392"/>
      <c r="J25" s="1392"/>
      <c r="K25" s="1392"/>
    </row>
    <row r="26" spans="1:11" ht="31.5" x14ac:dyDescent="0.2">
      <c r="A26" s="1935"/>
      <c r="B26" s="1937"/>
      <c r="C26" s="1939"/>
      <c r="D26" s="1941"/>
      <c r="E26" s="1371" t="s">
        <v>617</v>
      </c>
      <c r="F26" s="1361">
        <f>F19</f>
        <v>1.1000000000000001</v>
      </c>
      <c r="G26" s="1361"/>
      <c r="H26" s="1391"/>
    </row>
    <row r="27" spans="1:11" ht="39.75" customHeight="1" x14ac:dyDescent="0.2">
      <c r="A27" s="1934">
        <v>9</v>
      </c>
      <c r="B27" s="1936" t="s">
        <v>114</v>
      </c>
      <c r="C27" s="1938" t="s">
        <v>577</v>
      </c>
      <c r="D27" s="1940">
        <v>439</v>
      </c>
      <c r="E27" s="300" t="s">
        <v>624</v>
      </c>
      <c r="F27" s="298">
        <v>1</v>
      </c>
      <c r="G27" s="298" t="str">
        <f>CONCATENATE(D27,"*",F27,"*",F28)</f>
        <v>439*1*1,1</v>
      </c>
      <c r="H27" s="1393">
        <f>ROUND(D27*F27*F28,2)</f>
        <v>482.9</v>
      </c>
      <c r="I27" s="1392"/>
      <c r="J27" s="1392"/>
      <c r="K27" s="1392"/>
    </row>
    <row r="28" spans="1:11" ht="31.5" x14ac:dyDescent="0.2">
      <c r="A28" s="1935"/>
      <c r="B28" s="1937"/>
      <c r="C28" s="1939"/>
      <c r="D28" s="1941"/>
      <c r="E28" s="1371" t="s">
        <v>617</v>
      </c>
      <c r="F28" s="1361">
        <f>F19</f>
        <v>1.1000000000000001</v>
      </c>
      <c r="G28" s="1361"/>
      <c r="H28" s="1391"/>
    </row>
    <row r="29" spans="1:11" s="1377" customFormat="1" ht="20.25" customHeight="1" x14ac:dyDescent="0.2">
      <c r="A29" s="1398"/>
      <c r="B29" s="1399" t="s">
        <v>626</v>
      </c>
      <c r="C29" s="1400"/>
      <c r="D29" s="1401"/>
      <c r="E29" s="1402"/>
      <c r="F29" s="1403"/>
      <c r="G29" s="1404"/>
      <c r="H29" s="1393"/>
      <c r="I29" s="1406" t="s">
        <v>628</v>
      </c>
    </row>
    <row r="30" spans="1:11" s="1528" customFormat="1" ht="39.75" hidden="1" customHeight="1" x14ac:dyDescent="0.2">
      <c r="A30" s="1951">
        <v>10</v>
      </c>
      <c r="B30" s="1953" t="s">
        <v>615</v>
      </c>
      <c r="C30" s="1955" t="s">
        <v>577</v>
      </c>
      <c r="D30" s="1957">
        <v>410</v>
      </c>
      <c r="E30" s="1524" t="s">
        <v>621</v>
      </c>
      <c r="F30" s="1525">
        <v>1</v>
      </c>
      <c r="G30" s="1525" t="str">
        <f>CONCATENATE(D30,"*",F30,"*",F31)</f>
        <v>410*1*1</v>
      </c>
      <c r="H30" s="1526">
        <f>ROUND(D30*F30*F31,2)*0</f>
        <v>0</v>
      </c>
      <c r="I30" s="1527" t="s">
        <v>618</v>
      </c>
      <c r="J30" s="1527" t="s">
        <v>620</v>
      </c>
      <c r="K30" s="1527" t="s">
        <v>619</v>
      </c>
    </row>
    <row r="31" spans="1:11" s="1528" customFormat="1" ht="31.5" hidden="1" x14ac:dyDescent="0.2">
      <c r="A31" s="1952"/>
      <c r="B31" s="1954"/>
      <c r="C31" s="1956"/>
      <c r="D31" s="1958"/>
      <c r="E31" s="1529" t="s">
        <v>617</v>
      </c>
      <c r="F31" s="1530">
        <f>I31</f>
        <v>1</v>
      </c>
      <c r="G31" s="1530"/>
      <c r="H31" s="1531"/>
      <c r="I31" s="1532">
        <v>1</v>
      </c>
      <c r="J31" s="1532">
        <v>1.1000000000000001</v>
      </c>
      <c r="K31" s="1532">
        <v>1.2</v>
      </c>
    </row>
    <row r="32" spans="1:11" s="1137" customFormat="1" ht="46.5" customHeight="1" x14ac:dyDescent="0.25">
      <c r="A32" s="263">
        <v>10</v>
      </c>
      <c r="B32" s="278" t="s">
        <v>647</v>
      </c>
      <c r="C32" s="1463" t="s">
        <v>579</v>
      </c>
      <c r="D32" s="1464">
        <v>410</v>
      </c>
      <c r="E32" s="300" t="s">
        <v>648</v>
      </c>
      <c r="F32" s="1463">
        <v>1</v>
      </c>
      <c r="G32" s="268" t="str">
        <f t="shared" ref="G32" si="2">CONCATENATE(D32,"*",F32)</f>
        <v>410*1</v>
      </c>
      <c r="H32" s="269">
        <f>ROUND(D32*F32,2)</f>
        <v>410</v>
      </c>
      <c r="I32" s="1441" t="s">
        <v>644</v>
      </c>
    </row>
    <row r="33" spans="1:11" ht="54.75" customHeight="1" x14ac:dyDescent="0.2">
      <c r="A33" s="263">
        <v>11</v>
      </c>
      <c r="B33" s="278" t="s">
        <v>673</v>
      </c>
      <c r="C33" s="298" t="s">
        <v>579</v>
      </c>
      <c r="D33" s="299">
        <v>1860</v>
      </c>
      <c r="E33" s="300" t="s">
        <v>614</v>
      </c>
      <c r="F33" s="298">
        <v>3</v>
      </c>
      <c r="G33" s="268" t="str">
        <f t="shared" ref="G33" si="3">CONCATENATE(D33,"*",F33)</f>
        <v>1860*3</v>
      </c>
      <c r="H33" s="269">
        <f>ROUND(D33*F33,2)</f>
        <v>5580</v>
      </c>
    </row>
    <row r="34" spans="1:11" ht="37.5" hidden="1" customHeight="1" x14ac:dyDescent="0.2">
      <c r="A34" s="1934">
        <v>13</v>
      </c>
      <c r="B34" s="1936" t="s">
        <v>113</v>
      </c>
      <c r="C34" s="1938" t="s">
        <v>577</v>
      </c>
      <c r="D34" s="1940">
        <v>1648</v>
      </c>
      <c r="E34" s="300" t="s">
        <v>616</v>
      </c>
      <c r="F34" s="298">
        <v>1</v>
      </c>
      <c r="G34" s="298" t="str">
        <f>CONCATENATE(D34,"*",F34,"*",F35)</f>
        <v>1648*1*1</v>
      </c>
      <c r="H34" s="1393">
        <f>ROUND(D34*F34*F35,2)*0</f>
        <v>0</v>
      </c>
      <c r="I34" s="1392"/>
      <c r="J34" s="1392"/>
      <c r="K34" s="1392"/>
    </row>
    <row r="35" spans="1:11" ht="31.5" hidden="1" x14ac:dyDescent="0.2">
      <c r="A35" s="1935"/>
      <c r="B35" s="1937"/>
      <c r="C35" s="1939"/>
      <c r="D35" s="1941"/>
      <c r="E35" s="1371" t="s">
        <v>617</v>
      </c>
      <c r="F35" s="1361">
        <f>F31</f>
        <v>1</v>
      </c>
      <c r="G35" s="1361"/>
      <c r="H35" s="1391"/>
    </row>
    <row r="36" spans="1:11" ht="39.75" hidden="1" customHeight="1" x14ac:dyDescent="0.2">
      <c r="A36" s="1934">
        <v>14</v>
      </c>
      <c r="B36" s="1936" t="s">
        <v>622</v>
      </c>
      <c r="C36" s="1938" t="s">
        <v>577</v>
      </c>
      <c r="D36" s="1940">
        <v>1757</v>
      </c>
      <c r="E36" s="300" t="s">
        <v>623</v>
      </c>
      <c r="F36" s="298">
        <v>1</v>
      </c>
      <c r="G36" s="298" t="str">
        <f>CONCATENATE(D36,"*",F36,"*",F37)</f>
        <v>1757*1*1</v>
      </c>
      <c r="H36" s="1393">
        <f>ROUND(D36*F36*F37,2)*0</f>
        <v>0</v>
      </c>
      <c r="I36" s="1392"/>
      <c r="J36" s="1392"/>
      <c r="K36" s="1392"/>
    </row>
    <row r="37" spans="1:11" ht="31.5" hidden="1" x14ac:dyDescent="0.2">
      <c r="A37" s="1935"/>
      <c r="B37" s="1937"/>
      <c r="C37" s="1939"/>
      <c r="D37" s="1941"/>
      <c r="E37" s="1371" t="s">
        <v>617</v>
      </c>
      <c r="F37" s="1361">
        <f>F31</f>
        <v>1</v>
      </c>
      <c r="G37" s="1361"/>
      <c r="H37" s="1391"/>
    </row>
    <row r="38" spans="1:11" ht="42.75" hidden="1" customHeight="1" x14ac:dyDescent="0.2">
      <c r="A38" s="1934">
        <v>15</v>
      </c>
      <c r="B38" s="1936" t="s">
        <v>114</v>
      </c>
      <c r="C38" s="1938" t="s">
        <v>577</v>
      </c>
      <c r="D38" s="1940">
        <v>439</v>
      </c>
      <c r="E38" s="300" t="s">
        <v>624</v>
      </c>
      <c r="F38" s="298">
        <v>1</v>
      </c>
      <c r="G38" s="298" t="str">
        <f>CONCATENATE(D38,"*",F38,"*",F39)</f>
        <v>439*1*1</v>
      </c>
      <c r="H38" s="1393">
        <f>ROUND(D38*F38*F39,2)*0</f>
        <v>0</v>
      </c>
      <c r="I38" s="1392"/>
      <c r="J38" s="1392"/>
      <c r="K38" s="1392"/>
    </row>
    <row r="39" spans="1:11" ht="31.5" hidden="1" x14ac:dyDescent="0.2">
      <c r="A39" s="1935"/>
      <c r="B39" s="1937"/>
      <c r="C39" s="1939"/>
      <c r="D39" s="1941"/>
      <c r="E39" s="1371" t="s">
        <v>617</v>
      </c>
      <c r="F39" s="1361">
        <f>F31</f>
        <v>1</v>
      </c>
      <c r="G39" s="1361"/>
      <c r="H39" s="1391"/>
    </row>
    <row r="40" spans="1:11" ht="27.75" customHeight="1" x14ac:dyDescent="0.2">
      <c r="A40" s="263"/>
      <c r="B40" s="315" t="s">
        <v>625</v>
      </c>
      <c r="C40" s="267"/>
      <c r="D40" s="266"/>
      <c r="E40" s="267"/>
      <c r="F40" s="268"/>
      <c r="G40" s="268"/>
      <c r="H40" s="275">
        <f>SUM(H15:H39)</f>
        <v>27941.4</v>
      </c>
    </row>
    <row r="41" spans="1:11" ht="27.75" customHeight="1" x14ac:dyDescent="0.2">
      <c r="A41" s="263"/>
      <c r="B41" s="267" t="s">
        <v>44</v>
      </c>
      <c r="C41" s="301">
        <v>9.7000000000000003E-3</v>
      </c>
      <c r="D41" s="302"/>
      <c r="E41" s="267" t="s">
        <v>627</v>
      </c>
      <c r="F41" s="268"/>
      <c r="G41" s="303" t="str">
        <f>CONCATENATE(H40,"*",C41)</f>
        <v>27941,4*0,0097</v>
      </c>
      <c r="H41" s="276">
        <f>ROUND(H40*0.0097,2)</f>
        <v>271.02999999999997</v>
      </c>
    </row>
    <row r="42" spans="1:11" ht="27.75" customHeight="1" x14ac:dyDescent="0.2">
      <c r="A42" s="263"/>
      <c r="B42" s="315" t="s">
        <v>96</v>
      </c>
      <c r="C42" s="267"/>
      <c r="D42" s="266"/>
      <c r="E42" s="267"/>
      <c r="F42" s="268"/>
      <c r="G42" s="268" t="str">
        <f>CONCATENATE(H40," + ",H41)</f>
        <v>27941,4 + 271,03</v>
      </c>
      <c r="H42" s="275">
        <f>ROUND(H40+H41,2)</f>
        <v>28212.43</v>
      </c>
    </row>
    <row r="43" spans="1:11" ht="27.75" customHeight="1" x14ac:dyDescent="0.2">
      <c r="A43" s="263"/>
      <c r="B43" s="267" t="s">
        <v>45</v>
      </c>
      <c r="C43" s="301">
        <v>1.11E-2</v>
      </c>
      <c r="D43" s="302"/>
      <c r="E43" s="267" t="s">
        <v>629</v>
      </c>
      <c r="F43" s="303"/>
      <c r="G43" s="303" t="str">
        <f>CONCATENATE(H42,"*",C43)</f>
        <v>28212,43*0,0111</v>
      </c>
      <c r="H43" s="276">
        <f>ROUND(H42*C43,2)</f>
        <v>313.16000000000003</v>
      </c>
    </row>
    <row r="44" spans="1:11" ht="27.75" customHeight="1" x14ac:dyDescent="0.2">
      <c r="A44" s="263"/>
      <c r="B44" s="267" t="s">
        <v>641</v>
      </c>
      <c r="C44" s="301">
        <v>2.5700000000000001E-2</v>
      </c>
      <c r="D44" s="302"/>
      <c r="E44" s="267" t="s">
        <v>630</v>
      </c>
      <c r="F44" s="303"/>
      <c r="G44" s="303" t="str">
        <f>CONCATENATE(H42,"*",C44,)</f>
        <v>28212,43*0,0257</v>
      </c>
      <c r="H44" s="276">
        <f>ROUND(H42*C44,2)</f>
        <v>725.06</v>
      </c>
    </row>
    <row r="45" spans="1:11" s="1415" customFormat="1" ht="43.5" customHeight="1" thickBot="1" x14ac:dyDescent="0.3">
      <c r="A45" s="1411"/>
      <c r="B45" s="1412" t="s">
        <v>46</v>
      </c>
      <c r="C45" s="1412"/>
      <c r="D45" s="1413"/>
      <c r="E45" s="1412"/>
      <c r="F45" s="1414"/>
      <c r="G45" s="1414" t="str">
        <f>CONCATENATE(H42," + ",H43,"+",H44," + ",H14)</f>
        <v>28212,43 + 313,16+725,06 + 1326</v>
      </c>
      <c r="H45" s="316">
        <f>ROUND(H42+H43+H44+H14,2)*0</f>
        <v>0</v>
      </c>
    </row>
    <row r="46" spans="1:11" ht="15.75" x14ac:dyDescent="0.2">
      <c r="A46" s="304"/>
      <c r="B46" s="305"/>
      <c r="C46" s="305"/>
      <c r="D46" s="305"/>
      <c r="E46" s="306"/>
      <c r="F46" s="307"/>
      <c r="G46" s="307"/>
      <c r="H46" s="79"/>
    </row>
    <row r="47" spans="1:11" ht="15.75" x14ac:dyDescent="0.2">
      <c r="A47" s="304"/>
      <c r="B47" s="305"/>
      <c r="C47" s="305"/>
      <c r="D47" s="305"/>
      <c r="E47" s="306"/>
      <c r="F47" s="307"/>
      <c r="G47" s="307"/>
      <c r="H47" s="79"/>
    </row>
    <row r="48" spans="1:11" ht="15.75" x14ac:dyDescent="0.2">
      <c r="A48" s="136"/>
      <c r="B48" s="136"/>
      <c r="C48" s="136"/>
      <c r="D48" s="308"/>
      <c r="E48" s="136"/>
      <c r="F48" s="309"/>
      <c r="G48" s="136"/>
      <c r="H48" s="308"/>
    </row>
  </sheetData>
  <mergeCells count="40">
    <mergeCell ref="A23:A24"/>
    <mergeCell ref="B23:B24"/>
    <mergeCell ref="C23:C24"/>
    <mergeCell ref="D23:D24"/>
    <mergeCell ref="F1:H1"/>
    <mergeCell ref="F2:H2"/>
    <mergeCell ref="A5:H5"/>
    <mergeCell ref="A7:H7"/>
    <mergeCell ref="A9:H9"/>
    <mergeCell ref="A11:H11"/>
    <mergeCell ref="A8:H8"/>
    <mergeCell ref="B12:C12"/>
    <mergeCell ref="A18:A19"/>
    <mergeCell ref="B18:B19"/>
    <mergeCell ref="C18:C19"/>
    <mergeCell ref="D18:D19"/>
    <mergeCell ref="A25:A26"/>
    <mergeCell ref="B25:B26"/>
    <mergeCell ref="C25:C26"/>
    <mergeCell ref="D25:D26"/>
    <mergeCell ref="A27:A28"/>
    <mergeCell ref="B27:B28"/>
    <mergeCell ref="C27:C28"/>
    <mergeCell ref="D27:D28"/>
    <mergeCell ref="A30:A31"/>
    <mergeCell ref="B30:B31"/>
    <mergeCell ref="C30:C31"/>
    <mergeCell ref="D30:D31"/>
    <mergeCell ref="A34:A35"/>
    <mergeCell ref="B34:B35"/>
    <mergeCell ref="C34:C35"/>
    <mergeCell ref="D34:D35"/>
    <mergeCell ref="A36:A37"/>
    <mergeCell ref="B36:B37"/>
    <mergeCell ref="C36:C37"/>
    <mergeCell ref="D36:D37"/>
    <mergeCell ref="A38:A39"/>
    <mergeCell ref="B38:B39"/>
    <mergeCell ref="C38:C39"/>
    <mergeCell ref="D38:D3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59" fitToHeight="2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view="pageBreakPreview" zoomScale="90" zoomScaleNormal="100" zoomScaleSheetLayoutView="90" workbookViewId="0">
      <selection activeCell="H18" sqref="H18"/>
    </sheetView>
  </sheetViews>
  <sheetFormatPr defaultColWidth="9.140625" defaultRowHeight="15.75" x14ac:dyDescent="0.2"/>
  <cols>
    <col min="1" max="1" width="3.85546875" style="136" customWidth="1"/>
    <col min="2" max="2" width="23.7109375" style="136" customWidth="1"/>
    <col min="3" max="3" width="12.7109375" style="136" customWidth="1"/>
    <col min="4" max="4" width="11.7109375" style="308" customWidth="1"/>
    <col min="5" max="5" width="17.42578125" style="136" customWidth="1"/>
    <col min="6" max="6" width="7.140625" style="309" customWidth="1"/>
    <col min="7" max="7" width="16.85546875" style="136" customWidth="1"/>
    <col min="8" max="8" width="15.140625" style="308" customWidth="1"/>
    <col min="9" max="9" width="14.140625" style="136" customWidth="1"/>
    <col min="10" max="10" width="9.140625" style="136"/>
    <col min="11" max="11" width="27.7109375" style="136" customWidth="1"/>
    <col min="12" max="12" width="27.5703125" style="136" customWidth="1"/>
    <col min="13" max="16384" width="9.140625" style="136"/>
  </cols>
  <sheetData>
    <row r="1" spans="1:12" ht="27.75" customHeight="1" x14ac:dyDescent="0.2">
      <c r="D1" s="255"/>
      <c r="F1" s="256"/>
      <c r="G1" s="257"/>
      <c r="H1" s="258"/>
    </row>
    <row r="2" spans="1:12" ht="51" customHeight="1" x14ac:dyDescent="0.2">
      <c r="D2" s="255"/>
      <c r="F2" s="256"/>
      <c r="G2" s="257"/>
      <c r="H2" s="258"/>
    </row>
    <row r="3" spans="1:12" x14ac:dyDescent="0.2">
      <c r="A3" s="1948" t="s">
        <v>112</v>
      </c>
      <c r="B3" s="1948"/>
      <c r="C3" s="1948"/>
      <c r="D3" s="1948"/>
      <c r="E3" s="1948"/>
      <c r="F3" s="1948"/>
      <c r="G3" s="1948"/>
      <c r="H3" s="1948"/>
    </row>
    <row r="4" spans="1:12" x14ac:dyDescent="0.2">
      <c r="A4" s="259"/>
      <c r="B4" s="259"/>
      <c r="C4" s="259"/>
      <c r="D4" s="259"/>
      <c r="E4" s="259"/>
      <c r="F4" s="259"/>
      <c r="G4" s="259"/>
      <c r="H4" s="259"/>
    </row>
    <row r="5" spans="1:12" ht="47.25" customHeight="1" x14ac:dyDescent="0.2">
      <c r="A5" s="1949" t="str">
        <f>' ССР (нов)'!A6:G6</f>
        <v xml:space="preserve">Реконструкция теплового ввода </v>
      </c>
      <c r="B5" s="1949"/>
      <c r="C5" s="1949"/>
      <c r="D5" s="1949"/>
      <c r="E5" s="1949"/>
      <c r="F5" s="1949"/>
      <c r="G5" s="1949"/>
      <c r="H5" s="1949"/>
      <c r="K5" s="318" t="s">
        <v>152</v>
      </c>
      <c r="L5" s="318" t="s">
        <v>153</v>
      </c>
    </row>
    <row r="6" spans="1:12" ht="22.5" customHeight="1" x14ac:dyDescent="0.2">
      <c r="A6" s="1950" t="str">
        <f>' ССР (нов)'!A7:G7</f>
        <v>г. Москва , ул. Мневники д.4</v>
      </c>
      <c r="B6" s="1950"/>
      <c r="C6" s="1950"/>
      <c r="D6" s="1950"/>
      <c r="E6" s="1950"/>
      <c r="F6" s="1950"/>
      <c r="G6" s="1950"/>
      <c r="H6" s="1950"/>
    </row>
    <row r="7" spans="1:12" ht="23.25" customHeight="1" x14ac:dyDescent="0.2">
      <c r="A7" s="1948" t="s">
        <v>74</v>
      </c>
      <c r="B7" s="1948"/>
      <c r="C7" s="1948"/>
      <c r="D7" s="1948"/>
      <c r="E7" s="1948"/>
      <c r="F7" s="1948"/>
      <c r="G7" s="1948"/>
      <c r="H7" s="1948"/>
    </row>
    <row r="8" spans="1:12" x14ac:dyDescent="0.2">
      <c r="A8" s="259"/>
      <c r="B8" s="259"/>
      <c r="C8" s="259"/>
      <c r="D8" s="259"/>
      <c r="E8" s="259"/>
      <c r="F8" s="259"/>
      <c r="G8" s="259"/>
      <c r="H8" s="259"/>
    </row>
    <row r="9" spans="1:12" x14ac:dyDescent="0.2">
      <c r="A9" s="1963" t="s">
        <v>59</v>
      </c>
      <c r="B9" s="1963"/>
      <c r="C9" s="1963"/>
      <c r="D9" s="1963"/>
      <c r="E9" s="1963"/>
      <c r="F9" s="1963"/>
      <c r="G9" s="1963"/>
      <c r="H9" s="1963"/>
      <c r="K9" s="318" t="s">
        <v>154</v>
      </c>
      <c r="L9" s="318">
        <v>2500</v>
      </c>
    </row>
    <row r="10" spans="1:12" x14ac:dyDescent="0.2">
      <c r="A10" s="1963" t="s">
        <v>181</v>
      </c>
      <c r="B10" s="1963"/>
      <c r="C10" s="1963"/>
      <c r="D10" s="1963"/>
      <c r="E10" s="1963"/>
      <c r="F10" s="1963"/>
      <c r="G10" s="1963"/>
      <c r="H10" s="1963"/>
      <c r="K10" s="318" t="s">
        <v>155</v>
      </c>
      <c r="L10" s="318">
        <v>4500</v>
      </c>
    </row>
    <row r="11" spans="1:12" x14ac:dyDescent="0.2">
      <c r="A11" s="1963" t="s">
        <v>60</v>
      </c>
      <c r="B11" s="1963"/>
      <c r="C11" s="1963"/>
      <c r="D11" s="1963"/>
      <c r="E11" s="1963"/>
      <c r="F11" s="1963"/>
      <c r="G11" s="1963"/>
      <c r="H11" s="1963"/>
      <c r="K11" s="318" t="s">
        <v>156</v>
      </c>
      <c r="L11" s="318">
        <v>8000</v>
      </c>
    </row>
    <row r="12" spans="1:12" x14ac:dyDescent="0.2">
      <c r="A12" s="1963" t="s">
        <v>182</v>
      </c>
      <c r="B12" s="1963"/>
      <c r="C12" s="1963"/>
      <c r="D12" s="1963"/>
      <c r="E12" s="1963"/>
      <c r="F12" s="1963"/>
      <c r="G12" s="1963"/>
      <c r="H12" s="1963"/>
      <c r="K12" s="318" t="s">
        <v>157</v>
      </c>
      <c r="L12" s="318">
        <v>16500</v>
      </c>
    </row>
    <row r="13" spans="1:12" x14ac:dyDescent="0.2">
      <c r="A13" s="257"/>
      <c r="B13" s="257"/>
      <c r="C13" s="257"/>
      <c r="D13" s="257"/>
      <c r="E13" s="257"/>
      <c r="F13" s="257"/>
      <c r="G13" s="257"/>
      <c r="H13" s="257"/>
      <c r="K13" s="318" t="s">
        <v>158</v>
      </c>
      <c r="L13" s="318">
        <v>23000</v>
      </c>
    </row>
    <row r="14" spans="1:12" ht="24" x14ac:dyDescent="0.2">
      <c r="A14" s="331" t="s">
        <v>17</v>
      </c>
      <c r="B14" s="1964" t="s">
        <v>3</v>
      </c>
      <c r="C14" s="1964"/>
      <c r="D14" s="332" t="s">
        <v>9</v>
      </c>
      <c r="E14" s="333" t="s">
        <v>4</v>
      </c>
      <c r="F14" s="334" t="s">
        <v>5</v>
      </c>
      <c r="G14" s="333" t="s">
        <v>0</v>
      </c>
      <c r="H14" s="335" t="s">
        <v>6</v>
      </c>
      <c r="K14" s="318" t="s">
        <v>159</v>
      </c>
      <c r="L14" s="318">
        <v>34000</v>
      </c>
    </row>
    <row r="15" spans="1:12" ht="60.75" customHeight="1" x14ac:dyDescent="0.2">
      <c r="A15" s="319"/>
      <c r="B15" s="1965" t="s">
        <v>103</v>
      </c>
      <c r="C15" s="1965"/>
      <c r="D15" s="320">
        <f>Т.с.!H66</f>
        <v>378244</v>
      </c>
      <c r="E15" s="321"/>
      <c r="F15" s="322"/>
      <c r="G15" s="124" t="str">
        <f>CONCATENATE(D15,"*",0.4)</f>
        <v>378244*0,4</v>
      </c>
      <c r="H15" s="323">
        <f>ROUND(D15*0.4,2)</f>
        <v>151297.60000000001</v>
      </c>
      <c r="K15" s="318" t="s">
        <v>160</v>
      </c>
      <c r="L15" s="318">
        <v>42000</v>
      </c>
    </row>
    <row r="16" spans="1:12" ht="69" customHeight="1" x14ac:dyDescent="0.2">
      <c r="A16" s="324"/>
      <c r="B16" s="1966" t="s">
        <v>141</v>
      </c>
      <c r="C16" s="1966"/>
      <c r="D16" s="325">
        <v>4500</v>
      </c>
      <c r="E16" s="322" t="s">
        <v>183</v>
      </c>
      <c r="F16" s="326">
        <v>1</v>
      </c>
      <c r="G16" s="327" t="str">
        <f>CONCATENATE(D16,"*",F16)</f>
        <v>4500*1</v>
      </c>
      <c r="H16" s="328">
        <f>ROUND(D16*F16,2)</f>
        <v>4500</v>
      </c>
      <c r="K16" s="318" t="s">
        <v>161</v>
      </c>
      <c r="L16" s="318">
        <v>55120</v>
      </c>
    </row>
    <row r="17" spans="1:12" s="253" customFormat="1" ht="33.75" customHeight="1" x14ac:dyDescent="0.2">
      <c r="A17" s="324"/>
      <c r="B17" s="1962" t="s">
        <v>634</v>
      </c>
      <c r="C17" s="1962"/>
      <c r="D17" s="1407"/>
      <c r="E17" s="329"/>
      <c r="F17" s="1408"/>
      <c r="G17" s="1409"/>
      <c r="H17" s="1410">
        <f>H16</f>
        <v>4500</v>
      </c>
    </row>
    <row r="18" spans="1:12" s="69" customFormat="1" x14ac:dyDescent="0.2">
      <c r="D18" s="71"/>
      <c r="F18" s="72"/>
      <c r="H18" s="77"/>
      <c r="K18" s="136"/>
      <c r="L18" s="136"/>
    </row>
    <row r="19" spans="1:12" s="69" customFormat="1" x14ac:dyDescent="0.2">
      <c r="D19" s="71"/>
      <c r="F19" s="72"/>
      <c r="H19" s="77"/>
    </row>
    <row r="20" spans="1:12" x14ac:dyDescent="0.2">
      <c r="B20" s="253"/>
      <c r="C20" s="253"/>
      <c r="G20" s="308"/>
      <c r="I20" s="330"/>
    </row>
    <row r="21" spans="1:12" x14ac:dyDescent="0.2">
      <c r="B21" s="253"/>
      <c r="C21" s="253"/>
      <c r="G21" s="308"/>
      <c r="I21" s="330"/>
    </row>
  </sheetData>
  <mergeCells count="12">
    <mergeCell ref="A10:H10"/>
    <mergeCell ref="A3:H3"/>
    <mergeCell ref="A5:H5"/>
    <mergeCell ref="A7:H7"/>
    <mergeCell ref="A9:H9"/>
    <mergeCell ref="A6:H6"/>
    <mergeCell ref="B17:C17"/>
    <mergeCell ref="A11:H11"/>
    <mergeCell ref="A12:H12"/>
    <mergeCell ref="B14:C14"/>
    <mergeCell ref="B15:C15"/>
    <mergeCell ref="B16:C16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4" fitToHeight="2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view="pageBreakPreview" zoomScale="90" zoomScaleNormal="100" zoomScaleSheetLayoutView="90" workbookViewId="0">
      <selection activeCell="H26" sqref="H26"/>
    </sheetView>
  </sheetViews>
  <sheetFormatPr defaultRowHeight="15.75" x14ac:dyDescent="0.2"/>
  <cols>
    <col min="1" max="1" width="3.85546875" style="69" customWidth="1"/>
    <col min="2" max="2" width="28.5703125" style="69" customWidth="1"/>
    <col min="3" max="3" width="11.28515625" style="69" customWidth="1"/>
    <col min="4" max="4" width="12" style="71" customWidth="1"/>
    <col min="5" max="5" width="28.28515625" style="69" customWidth="1"/>
    <col min="6" max="6" width="7.28515625" style="72" customWidth="1"/>
    <col min="7" max="7" width="18.42578125" style="69" customWidth="1"/>
    <col min="8" max="8" width="16.85546875" style="77" customWidth="1"/>
    <col min="9" max="9" width="15" style="337" customWidth="1"/>
    <col min="10" max="10" width="47.42578125" style="69" customWidth="1"/>
    <col min="11" max="256" width="9.140625" style="69"/>
    <col min="257" max="257" width="3.85546875" style="69" customWidth="1"/>
    <col min="258" max="258" width="28.5703125" style="69" customWidth="1"/>
    <col min="259" max="259" width="11.28515625" style="69" customWidth="1"/>
    <col min="260" max="260" width="13.140625" style="69" customWidth="1"/>
    <col min="261" max="261" width="28.28515625" style="69" customWidth="1"/>
    <col min="262" max="262" width="7.28515625" style="69" customWidth="1"/>
    <col min="263" max="263" width="22.7109375" style="69" customWidth="1"/>
    <col min="264" max="264" width="16.85546875" style="69" customWidth="1"/>
    <col min="265" max="265" width="15" style="69" customWidth="1"/>
    <col min="266" max="266" width="47.42578125" style="69" customWidth="1"/>
    <col min="267" max="512" width="9.140625" style="69"/>
    <col min="513" max="513" width="3.85546875" style="69" customWidth="1"/>
    <col min="514" max="514" width="28.5703125" style="69" customWidth="1"/>
    <col min="515" max="515" width="11.28515625" style="69" customWidth="1"/>
    <col min="516" max="516" width="13.140625" style="69" customWidth="1"/>
    <col min="517" max="517" width="28.28515625" style="69" customWidth="1"/>
    <col min="518" max="518" width="7.28515625" style="69" customWidth="1"/>
    <col min="519" max="519" width="22.7109375" style="69" customWidth="1"/>
    <col min="520" max="520" width="16.85546875" style="69" customWidth="1"/>
    <col min="521" max="521" width="15" style="69" customWidth="1"/>
    <col min="522" max="522" width="47.42578125" style="69" customWidth="1"/>
    <col min="523" max="768" width="9.140625" style="69"/>
    <col min="769" max="769" width="3.85546875" style="69" customWidth="1"/>
    <col min="770" max="770" width="28.5703125" style="69" customWidth="1"/>
    <col min="771" max="771" width="11.28515625" style="69" customWidth="1"/>
    <col min="772" max="772" width="13.140625" style="69" customWidth="1"/>
    <col min="773" max="773" width="28.28515625" style="69" customWidth="1"/>
    <col min="774" max="774" width="7.28515625" style="69" customWidth="1"/>
    <col min="775" max="775" width="22.7109375" style="69" customWidth="1"/>
    <col min="776" max="776" width="16.85546875" style="69" customWidth="1"/>
    <col min="777" max="777" width="15" style="69" customWidth="1"/>
    <col min="778" max="778" width="47.42578125" style="69" customWidth="1"/>
    <col min="779" max="1024" width="9.140625" style="69"/>
    <col min="1025" max="1025" width="3.85546875" style="69" customWidth="1"/>
    <col min="1026" max="1026" width="28.5703125" style="69" customWidth="1"/>
    <col min="1027" max="1027" width="11.28515625" style="69" customWidth="1"/>
    <col min="1028" max="1028" width="13.140625" style="69" customWidth="1"/>
    <col min="1029" max="1029" width="28.28515625" style="69" customWidth="1"/>
    <col min="1030" max="1030" width="7.28515625" style="69" customWidth="1"/>
    <col min="1031" max="1031" width="22.7109375" style="69" customWidth="1"/>
    <col min="1032" max="1032" width="16.85546875" style="69" customWidth="1"/>
    <col min="1033" max="1033" width="15" style="69" customWidth="1"/>
    <col min="1034" max="1034" width="47.42578125" style="69" customWidth="1"/>
    <col min="1035" max="1280" width="9.140625" style="69"/>
    <col min="1281" max="1281" width="3.85546875" style="69" customWidth="1"/>
    <col min="1282" max="1282" width="28.5703125" style="69" customWidth="1"/>
    <col min="1283" max="1283" width="11.28515625" style="69" customWidth="1"/>
    <col min="1284" max="1284" width="13.140625" style="69" customWidth="1"/>
    <col min="1285" max="1285" width="28.28515625" style="69" customWidth="1"/>
    <col min="1286" max="1286" width="7.28515625" style="69" customWidth="1"/>
    <col min="1287" max="1287" width="22.7109375" style="69" customWidth="1"/>
    <col min="1288" max="1288" width="16.85546875" style="69" customWidth="1"/>
    <col min="1289" max="1289" width="15" style="69" customWidth="1"/>
    <col min="1290" max="1290" width="47.42578125" style="69" customWidth="1"/>
    <col min="1291" max="1536" width="9.140625" style="69"/>
    <col min="1537" max="1537" width="3.85546875" style="69" customWidth="1"/>
    <col min="1538" max="1538" width="28.5703125" style="69" customWidth="1"/>
    <col min="1539" max="1539" width="11.28515625" style="69" customWidth="1"/>
    <col min="1540" max="1540" width="13.140625" style="69" customWidth="1"/>
    <col min="1541" max="1541" width="28.28515625" style="69" customWidth="1"/>
    <col min="1542" max="1542" width="7.28515625" style="69" customWidth="1"/>
    <col min="1543" max="1543" width="22.7109375" style="69" customWidth="1"/>
    <col min="1544" max="1544" width="16.85546875" style="69" customWidth="1"/>
    <col min="1545" max="1545" width="15" style="69" customWidth="1"/>
    <col min="1546" max="1546" width="47.42578125" style="69" customWidth="1"/>
    <col min="1547" max="1792" width="9.140625" style="69"/>
    <col min="1793" max="1793" width="3.85546875" style="69" customWidth="1"/>
    <col min="1794" max="1794" width="28.5703125" style="69" customWidth="1"/>
    <col min="1795" max="1795" width="11.28515625" style="69" customWidth="1"/>
    <col min="1796" max="1796" width="13.140625" style="69" customWidth="1"/>
    <col min="1797" max="1797" width="28.28515625" style="69" customWidth="1"/>
    <col min="1798" max="1798" width="7.28515625" style="69" customWidth="1"/>
    <col min="1799" max="1799" width="22.7109375" style="69" customWidth="1"/>
    <col min="1800" max="1800" width="16.85546875" style="69" customWidth="1"/>
    <col min="1801" max="1801" width="15" style="69" customWidth="1"/>
    <col min="1802" max="1802" width="47.42578125" style="69" customWidth="1"/>
    <col min="1803" max="2048" width="9.140625" style="69"/>
    <col min="2049" max="2049" width="3.85546875" style="69" customWidth="1"/>
    <col min="2050" max="2050" width="28.5703125" style="69" customWidth="1"/>
    <col min="2051" max="2051" width="11.28515625" style="69" customWidth="1"/>
    <col min="2052" max="2052" width="13.140625" style="69" customWidth="1"/>
    <col min="2053" max="2053" width="28.28515625" style="69" customWidth="1"/>
    <col min="2054" max="2054" width="7.28515625" style="69" customWidth="1"/>
    <col min="2055" max="2055" width="22.7109375" style="69" customWidth="1"/>
    <col min="2056" max="2056" width="16.85546875" style="69" customWidth="1"/>
    <col min="2057" max="2057" width="15" style="69" customWidth="1"/>
    <col min="2058" max="2058" width="47.42578125" style="69" customWidth="1"/>
    <col min="2059" max="2304" width="9.140625" style="69"/>
    <col min="2305" max="2305" width="3.85546875" style="69" customWidth="1"/>
    <col min="2306" max="2306" width="28.5703125" style="69" customWidth="1"/>
    <col min="2307" max="2307" width="11.28515625" style="69" customWidth="1"/>
    <col min="2308" max="2308" width="13.140625" style="69" customWidth="1"/>
    <col min="2309" max="2309" width="28.28515625" style="69" customWidth="1"/>
    <col min="2310" max="2310" width="7.28515625" style="69" customWidth="1"/>
    <col min="2311" max="2311" width="22.7109375" style="69" customWidth="1"/>
    <col min="2312" max="2312" width="16.85546875" style="69" customWidth="1"/>
    <col min="2313" max="2313" width="15" style="69" customWidth="1"/>
    <col min="2314" max="2314" width="47.42578125" style="69" customWidth="1"/>
    <col min="2315" max="2560" width="9.140625" style="69"/>
    <col min="2561" max="2561" width="3.85546875" style="69" customWidth="1"/>
    <col min="2562" max="2562" width="28.5703125" style="69" customWidth="1"/>
    <col min="2563" max="2563" width="11.28515625" style="69" customWidth="1"/>
    <col min="2564" max="2564" width="13.140625" style="69" customWidth="1"/>
    <col min="2565" max="2565" width="28.28515625" style="69" customWidth="1"/>
    <col min="2566" max="2566" width="7.28515625" style="69" customWidth="1"/>
    <col min="2567" max="2567" width="22.7109375" style="69" customWidth="1"/>
    <col min="2568" max="2568" width="16.85546875" style="69" customWidth="1"/>
    <col min="2569" max="2569" width="15" style="69" customWidth="1"/>
    <col min="2570" max="2570" width="47.42578125" style="69" customWidth="1"/>
    <col min="2571" max="2816" width="9.140625" style="69"/>
    <col min="2817" max="2817" width="3.85546875" style="69" customWidth="1"/>
    <col min="2818" max="2818" width="28.5703125" style="69" customWidth="1"/>
    <col min="2819" max="2819" width="11.28515625" style="69" customWidth="1"/>
    <col min="2820" max="2820" width="13.140625" style="69" customWidth="1"/>
    <col min="2821" max="2821" width="28.28515625" style="69" customWidth="1"/>
    <col min="2822" max="2822" width="7.28515625" style="69" customWidth="1"/>
    <col min="2823" max="2823" width="22.7109375" style="69" customWidth="1"/>
    <col min="2824" max="2824" width="16.85546875" style="69" customWidth="1"/>
    <col min="2825" max="2825" width="15" style="69" customWidth="1"/>
    <col min="2826" max="2826" width="47.42578125" style="69" customWidth="1"/>
    <col min="2827" max="3072" width="9.140625" style="69"/>
    <col min="3073" max="3073" width="3.85546875" style="69" customWidth="1"/>
    <col min="3074" max="3074" width="28.5703125" style="69" customWidth="1"/>
    <col min="3075" max="3075" width="11.28515625" style="69" customWidth="1"/>
    <col min="3076" max="3076" width="13.140625" style="69" customWidth="1"/>
    <col min="3077" max="3077" width="28.28515625" style="69" customWidth="1"/>
    <col min="3078" max="3078" width="7.28515625" style="69" customWidth="1"/>
    <col min="3079" max="3079" width="22.7109375" style="69" customWidth="1"/>
    <col min="3080" max="3080" width="16.85546875" style="69" customWidth="1"/>
    <col min="3081" max="3081" width="15" style="69" customWidth="1"/>
    <col min="3082" max="3082" width="47.42578125" style="69" customWidth="1"/>
    <col min="3083" max="3328" width="9.140625" style="69"/>
    <col min="3329" max="3329" width="3.85546875" style="69" customWidth="1"/>
    <col min="3330" max="3330" width="28.5703125" style="69" customWidth="1"/>
    <col min="3331" max="3331" width="11.28515625" style="69" customWidth="1"/>
    <col min="3332" max="3332" width="13.140625" style="69" customWidth="1"/>
    <col min="3333" max="3333" width="28.28515625" style="69" customWidth="1"/>
    <col min="3334" max="3334" width="7.28515625" style="69" customWidth="1"/>
    <col min="3335" max="3335" width="22.7109375" style="69" customWidth="1"/>
    <col min="3336" max="3336" width="16.85546875" style="69" customWidth="1"/>
    <col min="3337" max="3337" width="15" style="69" customWidth="1"/>
    <col min="3338" max="3338" width="47.42578125" style="69" customWidth="1"/>
    <col min="3339" max="3584" width="9.140625" style="69"/>
    <col min="3585" max="3585" width="3.85546875" style="69" customWidth="1"/>
    <col min="3586" max="3586" width="28.5703125" style="69" customWidth="1"/>
    <col min="3587" max="3587" width="11.28515625" style="69" customWidth="1"/>
    <col min="3588" max="3588" width="13.140625" style="69" customWidth="1"/>
    <col min="3589" max="3589" width="28.28515625" style="69" customWidth="1"/>
    <col min="3590" max="3590" width="7.28515625" style="69" customWidth="1"/>
    <col min="3591" max="3591" width="22.7109375" style="69" customWidth="1"/>
    <col min="3592" max="3592" width="16.85546875" style="69" customWidth="1"/>
    <col min="3593" max="3593" width="15" style="69" customWidth="1"/>
    <col min="3594" max="3594" width="47.42578125" style="69" customWidth="1"/>
    <col min="3595" max="3840" width="9.140625" style="69"/>
    <col min="3841" max="3841" width="3.85546875" style="69" customWidth="1"/>
    <col min="3842" max="3842" width="28.5703125" style="69" customWidth="1"/>
    <col min="3843" max="3843" width="11.28515625" style="69" customWidth="1"/>
    <col min="3844" max="3844" width="13.140625" style="69" customWidth="1"/>
    <col min="3845" max="3845" width="28.28515625" style="69" customWidth="1"/>
    <col min="3846" max="3846" width="7.28515625" style="69" customWidth="1"/>
    <col min="3847" max="3847" width="22.7109375" style="69" customWidth="1"/>
    <col min="3848" max="3848" width="16.85546875" style="69" customWidth="1"/>
    <col min="3849" max="3849" width="15" style="69" customWidth="1"/>
    <col min="3850" max="3850" width="47.42578125" style="69" customWidth="1"/>
    <col min="3851" max="4096" width="9.140625" style="69"/>
    <col min="4097" max="4097" width="3.85546875" style="69" customWidth="1"/>
    <col min="4098" max="4098" width="28.5703125" style="69" customWidth="1"/>
    <col min="4099" max="4099" width="11.28515625" style="69" customWidth="1"/>
    <col min="4100" max="4100" width="13.140625" style="69" customWidth="1"/>
    <col min="4101" max="4101" width="28.28515625" style="69" customWidth="1"/>
    <col min="4102" max="4102" width="7.28515625" style="69" customWidth="1"/>
    <col min="4103" max="4103" width="22.7109375" style="69" customWidth="1"/>
    <col min="4104" max="4104" width="16.85546875" style="69" customWidth="1"/>
    <col min="4105" max="4105" width="15" style="69" customWidth="1"/>
    <col min="4106" max="4106" width="47.42578125" style="69" customWidth="1"/>
    <col min="4107" max="4352" width="9.140625" style="69"/>
    <col min="4353" max="4353" width="3.85546875" style="69" customWidth="1"/>
    <col min="4354" max="4354" width="28.5703125" style="69" customWidth="1"/>
    <col min="4355" max="4355" width="11.28515625" style="69" customWidth="1"/>
    <col min="4356" max="4356" width="13.140625" style="69" customWidth="1"/>
    <col min="4357" max="4357" width="28.28515625" style="69" customWidth="1"/>
    <col min="4358" max="4358" width="7.28515625" style="69" customWidth="1"/>
    <col min="4359" max="4359" width="22.7109375" style="69" customWidth="1"/>
    <col min="4360" max="4360" width="16.85546875" style="69" customWidth="1"/>
    <col min="4361" max="4361" width="15" style="69" customWidth="1"/>
    <col min="4362" max="4362" width="47.42578125" style="69" customWidth="1"/>
    <col min="4363" max="4608" width="9.140625" style="69"/>
    <col min="4609" max="4609" width="3.85546875" style="69" customWidth="1"/>
    <col min="4610" max="4610" width="28.5703125" style="69" customWidth="1"/>
    <col min="4611" max="4611" width="11.28515625" style="69" customWidth="1"/>
    <col min="4612" max="4612" width="13.140625" style="69" customWidth="1"/>
    <col min="4613" max="4613" width="28.28515625" style="69" customWidth="1"/>
    <col min="4614" max="4614" width="7.28515625" style="69" customWidth="1"/>
    <col min="4615" max="4615" width="22.7109375" style="69" customWidth="1"/>
    <col min="4616" max="4616" width="16.85546875" style="69" customWidth="1"/>
    <col min="4617" max="4617" width="15" style="69" customWidth="1"/>
    <col min="4618" max="4618" width="47.42578125" style="69" customWidth="1"/>
    <col min="4619" max="4864" width="9.140625" style="69"/>
    <col min="4865" max="4865" width="3.85546875" style="69" customWidth="1"/>
    <col min="4866" max="4866" width="28.5703125" style="69" customWidth="1"/>
    <col min="4867" max="4867" width="11.28515625" style="69" customWidth="1"/>
    <col min="4868" max="4868" width="13.140625" style="69" customWidth="1"/>
    <col min="4869" max="4869" width="28.28515625" style="69" customWidth="1"/>
    <col min="4870" max="4870" width="7.28515625" style="69" customWidth="1"/>
    <col min="4871" max="4871" width="22.7109375" style="69" customWidth="1"/>
    <col min="4872" max="4872" width="16.85546875" style="69" customWidth="1"/>
    <col min="4873" max="4873" width="15" style="69" customWidth="1"/>
    <col min="4874" max="4874" width="47.42578125" style="69" customWidth="1"/>
    <col min="4875" max="5120" width="9.140625" style="69"/>
    <col min="5121" max="5121" width="3.85546875" style="69" customWidth="1"/>
    <col min="5122" max="5122" width="28.5703125" style="69" customWidth="1"/>
    <col min="5123" max="5123" width="11.28515625" style="69" customWidth="1"/>
    <col min="5124" max="5124" width="13.140625" style="69" customWidth="1"/>
    <col min="5125" max="5125" width="28.28515625" style="69" customWidth="1"/>
    <col min="5126" max="5126" width="7.28515625" style="69" customWidth="1"/>
    <col min="5127" max="5127" width="22.7109375" style="69" customWidth="1"/>
    <col min="5128" max="5128" width="16.85546875" style="69" customWidth="1"/>
    <col min="5129" max="5129" width="15" style="69" customWidth="1"/>
    <col min="5130" max="5130" width="47.42578125" style="69" customWidth="1"/>
    <col min="5131" max="5376" width="9.140625" style="69"/>
    <col min="5377" max="5377" width="3.85546875" style="69" customWidth="1"/>
    <col min="5378" max="5378" width="28.5703125" style="69" customWidth="1"/>
    <col min="5379" max="5379" width="11.28515625" style="69" customWidth="1"/>
    <col min="5380" max="5380" width="13.140625" style="69" customWidth="1"/>
    <col min="5381" max="5381" width="28.28515625" style="69" customWidth="1"/>
    <col min="5382" max="5382" width="7.28515625" style="69" customWidth="1"/>
    <col min="5383" max="5383" width="22.7109375" style="69" customWidth="1"/>
    <col min="5384" max="5384" width="16.85546875" style="69" customWidth="1"/>
    <col min="5385" max="5385" width="15" style="69" customWidth="1"/>
    <col min="5386" max="5386" width="47.42578125" style="69" customWidth="1"/>
    <col min="5387" max="5632" width="9.140625" style="69"/>
    <col min="5633" max="5633" width="3.85546875" style="69" customWidth="1"/>
    <col min="5634" max="5634" width="28.5703125" style="69" customWidth="1"/>
    <col min="5635" max="5635" width="11.28515625" style="69" customWidth="1"/>
    <col min="5636" max="5636" width="13.140625" style="69" customWidth="1"/>
    <col min="5637" max="5637" width="28.28515625" style="69" customWidth="1"/>
    <col min="5638" max="5638" width="7.28515625" style="69" customWidth="1"/>
    <col min="5639" max="5639" width="22.7109375" style="69" customWidth="1"/>
    <col min="5640" max="5640" width="16.85546875" style="69" customWidth="1"/>
    <col min="5641" max="5641" width="15" style="69" customWidth="1"/>
    <col min="5642" max="5642" width="47.42578125" style="69" customWidth="1"/>
    <col min="5643" max="5888" width="9.140625" style="69"/>
    <col min="5889" max="5889" width="3.85546875" style="69" customWidth="1"/>
    <col min="5890" max="5890" width="28.5703125" style="69" customWidth="1"/>
    <col min="5891" max="5891" width="11.28515625" style="69" customWidth="1"/>
    <col min="5892" max="5892" width="13.140625" style="69" customWidth="1"/>
    <col min="5893" max="5893" width="28.28515625" style="69" customWidth="1"/>
    <col min="5894" max="5894" width="7.28515625" style="69" customWidth="1"/>
    <col min="5895" max="5895" width="22.7109375" style="69" customWidth="1"/>
    <col min="5896" max="5896" width="16.85546875" style="69" customWidth="1"/>
    <col min="5897" max="5897" width="15" style="69" customWidth="1"/>
    <col min="5898" max="5898" width="47.42578125" style="69" customWidth="1"/>
    <col min="5899" max="6144" width="9.140625" style="69"/>
    <col min="6145" max="6145" width="3.85546875" style="69" customWidth="1"/>
    <col min="6146" max="6146" width="28.5703125" style="69" customWidth="1"/>
    <col min="6147" max="6147" width="11.28515625" style="69" customWidth="1"/>
    <col min="6148" max="6148" width="13.140625" style="69" customWidth="1"/>
    <col min="6149" max="6149" width="28.28515625" style="69" customWidth="1"/>
    <col min="6150" max="6150" width="7.28515625" style="69" customWidth="1"/>
    <col min="6151" max="6151" width="22.7109375" style="69" customWidth="1"/>
    <col min="6152" max="6152" width="16.85546875" style="69" customWidth="1"/>
    <col min="6153" max="6153" width="15" style="69" customWidth="1"/>
    <col min="6154" max="6154" width="47.42578125" style="69" customWidth="1"/>
    <col min="6155" max="6400" width="9.140625" style="69"/>
    <col min="6401" max="6401" width="3.85546875" style="69" customWidth="1"/>
    <col min="6402" max="6402" width="28.5703125" style="69" customWidth="1"/>
    <col min="6403" max="6403" width="11.28515625" style="69" customWidth="1"/>
    <col min="6404" max="6404" width="13.140625" style="69" customWidth="1"/>
    <col min="6405" max="6405" width="28.28515625" style="69" customWidth="1"/>
    <col min="6406" max="6406" width="7.28515625" style="69" customWidth="1"/>
    <col min="6407" max="6407" width="22.7109375" style="69" customWidth="1"/>
    <col min="6408" max="6408" width="16.85546875" style="69" customWidth="1"/>
    <col min="6409" max="6409" width="15" style="69" customWidth="1"/>
    <col min="6410" max="6410" width="47.42578125" style="69" customWidth="1"/>
    <col min="6411" max="6656" width="9.140625" style="69"/>
    <col min="6657" max="6657" width="3.85546875" style="69" customWidth="1"/>
    <col min="6658" max="6658" width="28.5703125" style="69" customWidth="1"/>
    <col min="6659" max="6659" width="11.28515625" style="69" customWidth="1"/>
    <col min="6660" max="6660" width="13.140625" style="69" customWidth="1"/>
    <col min="6661" max="6661" width="28.28515625" style="69" customWidth="1"/>
    <col min="6662" max="6662" width="7.28515625" style="69" customWidth="1"/>
    <col min="6663" max="6663" width="22.7109375" style="69" customWidth="1"/>
    <col min="6664" max="6664" width="16.85546875" style="69" customWidth="1"/>
    <col min="6665" max="6665" width="15" style="69" customWidth="1"/>
    <col min="6666" max="6666" width="47.42578125" style="69" customWidth="1"/>
    <col min="6667" max="6912" width="9.140625" style="69"/>
    <col min="6913" max="6913" width="3.85546875" style="69" customWidth="1"/>
    <col min="6914" max="6914" width="28.5703125" style="69" customWidth="1"/>
    <col min="6915" max="6915" width="11.28515625" style="69" customWidth="1"/>
    <col min="6916" max="6916" width="13.140625" style="69" customWidth="1"/>
    <col min="6917" max="6917" width="28.28515625" style="69" customWidth="1"/>
    <col min="6918" max="6918" width="7.28515625" style="69" customWidth="1"/>
    <col min="6919" max="6919" width="22.7109375" style="69" customWidth="1"/>
    <col min="6920" max="6920" width="16.85546875" style="69" customWidth="1"/>
    <col min="6921" max="6921" width="15" style="69" customWidth="1"/>
    <col min="6922" max="6922" width="47.42578125" style="69" customWidth="1"/>
    <col min="6923" max="7168" width="9.140625" style="69"/>
    <col min="7169" max="7169" width="3.85546875" style="69" customWidth="1"/>
    <col min="7170" max="7170" width="28.5703125" style="69" customWidth="1"/>
    <col min="7171" max="7171" width="11.28515625" style="69" customWidth="1"/>
    <col min="7172" max="7172" width="13.140625" style="69" customWidth="1"/>
    <col min="7173" max="7173" width="28.28515625" style="69" customWidth="1"/>
    <col min="7174" max="7174" width="7.28515625" style="69" customWidth="1"/>
    <col min="7175" max="7175" width="22.7109375" style="69" customWidth="1"/>
    <col min="7176" max="7176" width="16.85546875" style="69" customWidth="1"/>
    <col min="7177" max="7177" width="15" style="69" customWidth="1"/>
    <col min="7178" max="7178" width="47.42578125" style="69" customWidth="1"/>
    <col min="7179" max="7424" width="9.140625" style="69"/>
    <col min="7425" max="7425" width="3.85546875" style="69" customWidth="1"/>
    <col min="7426" max="7426" width="28.5703125" style="69" customWidth="1"/>
    <col min="7427" max="7427" width="11.28515625" style="69" customWidth="1"/>
    <col min="7428" max="7428" width="13.140625" style="69" customWidth="1"/>
    <col min="7429" max="7429" width="28.28515625" style="69" customWidth="1"/>
    <col min="7430" max="7430" width="7.28515625" style="69" customWidth="1"/>
    <col min="7431" max="7431" width="22.7109375" style="69" customWidth="1"/>
    <col min="7432" max="7432" width="16.85546875" style="69" customWidth="1"/>
    <col min="7433" max="7433" width="15" style="69" customWidth="1"/>
    <col min="7434" max="7434" width="47.42578125" style="69" customWidth="1"/>
    <col min="7435" max="7680" width="9.140625" style="69"/>
    <col min="7681" max="7681" width="3.85546875" style="69" customWidth="1"/>
    <col min="7682" max="7682" width="28.5703125" style="69" customWidth="1"/>
    <col min="7683" max="7683" width="11.28515625" style="69" customWidth="1"/>
    <col min="7684" max="7684" width="13.140625" style="69" customWidth="1"/>
    <col min="7685" max="7685" width="28.28515625" style="69" customWidth="1"/>
    <col min="7686" max="7686" width="7.28515625" style="69" customWidth="1"/>
    <col min="7687" max="7687" width="22.7109375" style="69" customWidth="1"/>
    <col min="7688" max="7688" width="16.85546875" style="69" customWidth="1"/>
    <col min="7689" max="7689" width="15" style="69" customWidth="1"/>
    <col min="7690" max="7690" width="47.42578125" style="69" customWidth="1"/>
    <col min="7691" max="7936" width="9.140625" style="69"/>
    <col min="7937" max="7937" width="3.85546875" style="69" customWidth="1"/>
    <col min="7938" max="7938" width="28.5703125" style="69" customWidth="1"/>
    <col min="7939" max="7939" width="11.28515625" style="69" customWidth="1"/>
    <col min="7940" max="7940" width="13.140625" style="69" customWidth="1"/>
    <col min="7941" max="7941" width="28.28515625" style="69" customWidth="1"/>
    <col min="7942" max="7942" width="7.28515625" style="69" customWidth="1"/>
    <col min="7943" max="7943" width="22.7109375" style="69" customWidth="1"/>
    <col min="7944" max="7944" width="16.85546875" style="69" customWidth="1"/>
    <col min="7945" max="7945" width="15" style="69" customWidth="1"/>
    <col min="7946" max="7946" width="47.42578125" style="69" customWidth="1"/>
    <col min="7947" max="8192" width="9.140625" style="69"/>
    <col min="8193" max="8193" width="3.85546875" style="69" customWidth="1"/>
    <col min="8194" max="8194" width="28.5703125" style="69" customWidth="1"/>
    <col min="8195" max="8195" width="11.28515625" style="69" customWidth="1"/>
    <col min="8196" max="8196" width="13.140625" style="69" customWidth="1"/>
    <col min="8197" max="8197" width="28.28515625" style="69" customWidth="1"/>
    <col min="8198" max="8198" width="7.28515625" style="69" customWidth="1"/>
    <col min="8199" max="8199" width="22.7109375" style="69" customWidth="1"/>
    <col min="8200" max="8200" width="16.85546875" style="69" customWidth="1"/>
    <col min="8201" max="8201" width="15" style="69" customWidth="1"/>
    <col min="8202" max="8202" width="47.42578125" style="69" customWidth="1"/>
    <col min="8203" max="8448" width="9.140625" style="69"/>
    <col min="8449" max="8449" width="3.85546875" style="69" customWidth="1"/>
    <col min="8450" max="8450" width="28.5703125" style="69" customWidth="1"/>
    <col min="8451" max="8451" width="11.28515625" style="69" customWidth="1"/>
    <col min="8452" max="8452" width="13.140625" style="69" customWidth="1"/>
    <col min="8453" max="8453" width="28.28515625" style="69" customWidth="1"/>
    <col min="8454" max="8454" width="7.28515625" style="69" customWidth="1"/>
    <col min="8455" max="8455" width="22.7109375" style="69" customWidth="1"/>
    <col min="8456" max="8456" width="16.85546875" style="69" customWidth="1"/>
    <col min="8457" max="8457" width="15" style="69" customWidth="1"/>
    <col min="8458" max="8458" width="47.42578125" style="69" customWidth="1"/>
    <col min="8459" max="8704" width="9.140625" style="69"/>
    <col min="8705" max="8705" width="3.85546875" style="69" customWidth="1"/>
    <col min="8706" max="8706" width="28.5703125" style="69" customWidth="1"/>
    <col min="8707" max="8707" width="11.28515625" style="69" customWidth="1"/>
    <col min="8708" max="8708" width="13.140625" style="69" customWidth="1"/>
    <col min="8709" max="8709" width="28.28515625" style="69" customWidth="1"/>
    <col min="8710" max="8710" width="7.28515625" style="69" customWidth="1"/>
    <col min="8711" max="8711" width="22.7109375" style="69" customWidth="1"/>
    <col min="8712" max="8712" width="16.85546875" style="69" customWidth="1"/>
    <col min="8713" max="8713" width="15" style="69" customWidth="1"/>
    <col min="8714" max="8714" width="47.42578125" style="69" customWidth="1"/>
    <col min="8715" max="8960" width="9.140625" style="69"/>
    <col min="8961" max="8961" width="3.85546875" style="69" customWidth="1"/>
    <col min="8962" max="8962" width="28.5703125" style="69" customWidth="1"/>
    <col min="8963" max="8963" width="11.28515625" style="69" customWidth="1"/>
    <col min="8964" max="8964" width="13.140625" style="69" customWidth="1"/>
    <col min="8965" max="8965" width="28.28515625" style="69" customWidth="1"/>
    <col min="8966" max="8966" width="7.28515625" style="69" customWidth="1"/>
    <col min="8967" max="8967" width="22.7109375" style="69" customWidth="1"/>
    <col min="8968" max="8968" width="16.85546875" style="69" customWidth="1"/>
    <col min="8969" max="8969" width="15" style="69" customWidth="1"/>
    <col min="8970" max="8970" width="47.42578125" style="69" customWidth="1"/>
    <col min="8971" max="9216" width="9.140625" style="69"/>
    <col min="9217" max="9217" width="3.85546875" style="69" customWidth="1"/>
    <col min="9218" max="9218" width="28.5703125" style="69" customWidth="1"/>
    <col min="9219" max="9219" width="11.28515625" style="69" customWidth="1"/>
    <col min="9220" max="9220" width="13.140625" style="69" customWidth="1"/>
    <col min="9221" max="9221" width="28.28515625" style="69" customWidth="1"/>
    <col min="9222" max="9222" width="7.28515625" style="69" customWidth="1"/>
    <col min="9223" max="9223" width="22.7109375" style="69" customWidth="1"/>
    <col min="9224" max="9224" width="16.85546875" style="69" customWidth="1"/>
    <col min="9225" max="9225" width="15" style="69" customWidth="1"/>
    <col min="9226" max="9226" width="47.42578125" style="69" customWidth="1"/>
    <col min="9227" max="9472" width="9.140625" style="69"/>
    <col min="9473" max="9473" width="3.85546875" style="69" customWidth="1"/>
    <col min="9474" max="9474" width="28.5703125" style="69" customWidth="1"/>
    <col min="9475" max="9475" width="11.28515625" style="69" customWidth="1"/>
    <col min="9476" max="9476" width="13.140625" style="69" customWidth="1"/>
    <col min="9477" max="9477" width="28.28515625" style="69" customWidth="1"/>
    <col min="9478" max="9478" width="7.28515625" style="69" customWidth="1"/>
    <col min="9479" max="9479" width="22.7109375" style="69" customWidth="1"/>
    <col min="9480" max="9480" width="16.85546875" style="69" customWidth="1"/>
    <col min="9481" max="9481" width="15" style="69" customWidth="1"/>
    <col min="9482" max="9482" width="47.42578125" style="69" customWidth="1"/>
    <col min="9483" max="9728" width="9.140625" style="69"/>
    <col min="9729" max="9729" width="3.85546875" style="69" customWidth="1"/>
    <col min="9730" max="9730" width="28.5703125" style="69" customWidth="1"/>
    <col min="9731" max="9731" width="11.28515625" style="69" customWidth="1"/>
    <col min="9732" max="9732" width="13.140625" style="69" customWidth="1"/>
    <col min="9733" max="9733" width="28.28515625" style="69" customWidth="1"/>
    <col min="9734" max="9734" width="7.28515625" style="69" customWidth="1"/>
    <col min="9735" max="9735" width="22.7109375" style="69" customWidth="1"/>
    <col min="9736" max="9736" width="16.85546875" style="69" customWidth="1"/>
    <col min="9737" max="9737" width="15" style="69" customWidth="1"/>
    <col min="9738" max="9738" width="47.42578125" style="69" customWidth="1"/>
    <col min="9739" max="9984" width="9.140625" style="69"/>
    <col min="9985" max="9985" width="3.85546875" style="69" customWidth="1"/>
    <col min="9986" max="9986" width="28.5703125" style="69" customWidth="1"/>
    <col min="9987" max="9987" width="11.28515625" style="69" customWidth="1"/>
    <col min="9988" max="9988" width="13.140625" style="69" customWidth="1"/>
    <col min="9989" max="9989" width="28.28515625" style="69" customWidth="1"/>
    <col min="9990" max="9990" width="7.28515625" style="69" customWidth="1"/>
    <col min="9991" max="9991" width="22.7109375" style="69" customWidth="1"/>
    <col min="9992" max="9992" width="16.85546875" style="69" customWidth="1"/>
    <col min="9993" max="9993" width="15" style="69" customWidth="1"/>
    <col min="9994" max="9994" width="47.42578125" style="69" customWidth="1"/>
    <col min="9995" max="10240" width="9.140625" style="69"/>
    <col min="10241" max="10241" width="3.85546875" style="69" customWidth="1"/>
    <col min="10242" max="10242" width="28.5703125" style="69" customWidth="1"/>
    <col min="10243" max="10243" width="11.28515625" style="69" customWidth="1"/>
    <col min="10244" max="10244" width="13.140625" style="69" customWidth="1"/>
    <col min="10245" max="10245" width="28.28515625" style="69" customWidth="1"/>
    <col min="10246" max="10246" width="7.28515625" style="69" customWidth="1"/>
    <col min="10247" max="10247" width="22.7109375" style="69" customWidth="1"/>
    <col min="10248" max="10248" width="16.85546875" style="69" customWidth="1"/>
    <col min="10249" max="10249" width="15" style="69" customWidth="1"/>
    <col min="10250" max="10250" width="47.42578125" style="69" customWidth="1"/>
    <col min="10251" max="10496" width="9.140625" style="69"/>
    <col min="10497" max="10497" width="3.85546875" style="69" customWidth="1"/>
    <col min="10498" max="10498" width="28.5703125" style="69" customWidth="1"/>
    <col min="10499" max="10499" width="11.28515625" style="69" customWidth="1"/>
    <col min="10500" max="10500" width="13.140625" style="69" customWidth="1"/>
    <col min="10501" max="10501" width="28.28515625" style="69" customWidth="1"/>
    <col min="10502" max="10502" width="7.28515625" style="69" customWidth="1"/>
    <col min="10503" max="10503" width="22.7109375" style="69" customWidth="1"/>
    <col min="10504" max="10504" width="16.85546875" style="69" customWidth="1"/>
    <col min="10505" max="10505" width="15" style="69" customWidth="1"/>
    <col min="10506" max="10506" width="47.42578125" style="69" customWidth="1"/>
    <col min="10507" max="10752" width="9.140625" style="69"/>
    <col min="10753" max="10753" width="3.85546875" style="69" customWidth="1"/>
    <col min="10754" max="10754" width="28.5703125" style="69" customWidth="1"/>
    <col min="10755" max="10755" width="11.28515625" style="69" customWidth="1"/>
    <col min="10756" max="10756" width="13.140625" style="69" customWidth="1"/>
    <col min="10757" max="10757" width="28.28515625" style="69" customWidth="1"/>
    <col min="10758" max="10758" width="7.28515625" style="69" customWidth="1"/>
    <col min="10759" max="10759" width="22.7109375" style="69" customWidth="1"/>
    <col min="10760" max="10760" width="16.85546875" style="69" customWidth="1"/>
    <col min="10761" max="10761" width="15" style="69" customWidth="1"/>
    <col min="10762" max="10762" width="47.42578125" style="69" customWidth="1"/>
    <col min="10763" max="11008" width="9.140625" style="69"/>
    <col min="11009" max="11009" width="3.85546875" style="69" customWidth="1"/>
    <col min="11010" max="11010" width="28.5703125" style="69" customWidth="1"/>
    <col min="11011" max="11011" width="11.28515625" style="69" customWidth="1"/>
    <col min="11012" max="11012" width="13.140625" style="69" customWidth="1"/>
    <col min="11013" max="11013" width="28.28515625" style="69" customWidth="1"/>
    <col min="11014" max="11014" width="7.28515625" style="69" customWidth="1"/>
    <col min="11015" max="11015" width="22.7109375" style="69" customWidth="1"/>
    <col min="11016" max="11016" width="16.85546875" style="69" customWidth="1"/>
    <col min="11017" max="11017" width="15" style="69" customWidth="1"/>
    <col min="11018" max="11018" width="47.42578125" style="69" customWidth="1"/>
    <col min="11019" max="11264" width="9.140625" style="69"/>
    <col min="11265" max="11265" width="3.85546875" style="69" customWidth="1"/>
    <col min="11266" max="11266" width="28.5703125" style="69" customWidth="1"/>
    <col min="11267" max="11267" width="11.28515625" style="69" customWidth="1"/>
    <col min="11268" max="11268" width="13.140625" style="69" customWidth="1"/>
    <col min="11269" max="11269" width="28.28515625" style="69" customWidth="1"/>
    <col min="11270" max="11270" width="7.28515625" style="69" customWidth="1"/>
    <col min="11271" max="11271" width="22.7109375" style="69" customWidth="1"/>
    <col min="11272" max="11272" width="16.85546875" style="69" customWidth="1"/>
    <col min="11273" max="11273" width="15" style="69" customWidth="1"/>
    <col min="11274" max="11274" width="47.42578125" style="69" customWidth="1"/>
    <col min="11275" max="11520" width="9.140625" style="69"/>
    <col min="11521" max="11521" width="3.85546875" style="69" customWidth="1"/>
    <col min="11522" max="11522" width="28.5703125" style="69" customWidth="1"/>
    <col min="11523" max="11523" width="11.28515625" style="69" customWidth="1"/>
    <col min="11524" max="11524" width="13.140625" style="69" customWidth="1"/>
    <col min="11525" max="11525" width="28.28515625" style="69" customWidth="1"/>
    <col min="11526" max="11526" width="7.28515625" style="69" customWidth="1"/>
    <col min="11527" max="11527" width="22.7109375" style="69" customWidth="1"/>
    <col min="11528" max="11528" width="16.85546875" style="69" customWidth="1"/>
    <col min="11529" max="11529" width="15" style="69" customWidth="1"/>
    <col min="11530" max="11530" width="47.42578125" style="69" customWidth="1"/>
    <col min="11531" max="11776" width="9.140625" style="69"/>
    <col min="11777" max="11777" width="3.85546875" style="69" customWidth="1"/>
    <col min="11778" max="11778" width="28.5703125" style="69" customWidth="1"/>
    <col min="11779" max="11779" width="11.28515625" style="69" customWidth="1"/>
    <col min="11780" max="11780" width="13.140625" style="69" customWidth="1"/>
    <col min="11781" max="11781" width="28.28515625" style="69" customWidth="1"/>
    <col min="11782" max="11782" width="7.28515625" style="69" customWidth="1"/>
    <col min="11783" max="11783" width="22.7109375" style="69" customWidth="1"/>
    <col min="11784" max="11784" width="16.85546875" style="69" customWidth="1"/>
    <col min="11785" max="11785" width="15" style="69" customWidth="1"/>
    <col min="11786" max="11786" width="47.42578125" style="69" customWidth="1"/>
    <col min="11787" max="12032" width="9.140625" style="69"/>
    <col min="12033" max="12033" width="3.85546875" style="69" customWidth="1"/>
    <col min="12034" max="12034" width="28.5703125" style="69" customWidth="1"/>
    <col min="12035" max="12035" width="11.28515625" style="69" customWidth="1"/>
    <col min="12036" max="12036" width="13.140625" style="69" customWidth="1"/>
    <col min="12037" max="12037" width="28.28515625" style="69" customWidth="1"/>
    <col min="12038" max="12038" width="7.28515625" style="69" customWidth="1"/>
    <col min="12039" max="12039" width="22.7109375" style="69" customWidth="1"/>
    <col min="12040" max="12040" width="16.85546875" style="69" customWidth="1"/>
    <col min="12041" max="12041" width="15" style="69" customWidth="1"/>
    <col min="12042" max="12042" width="47.42578125" style="69" customWidth="1"/>
    <col min="12043" max="12288" width="9.140625" style="69"/>
    <col min="12289" max="12289" width="3.85546875" style="69" customWidth="1"/>
    <col min="12290" max="12290" width="28.5703125" style="69" customWidth="1"/>
    <col min="12291" max="12291" width="11.28515625" style="69" customWidth="1"/>
    <col min="12292" max="12292" width="13.140625" style="69" customWidth="1"/>
    <col min="12293" max="12293" width="28.28515625" style="69" customWidth="1"/>
    <col min="12294" max="12294" width="7.28515625" style="69" customWidth="1"/>
    <col min="12295" max="12295" width="22.7109375" style="69" customWidth="1"/>
    <col min="12296" max="12296" width="16.85546875" style="69" customWidth="1"/>
    <col min="12297" max="12297" width="15" style="69" customWidth="1"/>
    <col min="12298" max="12298" width="47.42578125" style="69" customWidth="1"/>
    <col min="12299" max="12544" width="9.140625" style="69"/>
    <col min="12545" max="12545" width="3.85546875" style="69" customWidth="1"/>
    <col min="12546" max="12546" width="28.5703125" style="69" customWidth="1"/>
    <col min="12547" max="12547" width="11.28515625" style="69" customWidth="1"/>
    <col min="12548" max="12548" width="13.140625" style="69" customWidth="1"/>
    <col min="12549" max="12549" width="28.28515625" style="69" customWidth="1"/>
    <col min="12550" max="12550" width="7.28515625" style="69" customWidth="1"/>
    <col min="12551" max="12551" width="22.7109375" style="69" customWidth="1"/>
    <col min="12552" max="12552" width="16.85546875" style="69" customWidth="1"/>
    <col min="12553" max="12553" width="15" style="69" customWidth="1"/>
    <col min="12554" max="12554" width="47.42578125" style="69" customWidth="1"/>
    <col min="12555" max="12800" width="9.140625" style="69"/>
    <col min="12801" max="12801" width="3.85546875" style="69" customWidth="1"/>
    <col min="12802" max="12802" width="28.5703125" style="69" customWidth="1"/>
    <col min="12803" max="12803" width="11.28515625" style="69" customWidth="1"/>
    <col min="12804" max="12804" width="13.140625" style="69" customWidth="1"/>
    <col min="12805" max="12805" width="28.28515625" style="69" customWidth="1"/>
    <col min="12806" max="12806" width="7.28515625" style="69" customWidth="1"/>
    <col min="12807" max="12807" width="22.7109375" style="69" customWidth="1"/>
    <col min="12808" max="12808" width="16.85546875" style="69" customWidth="1"/>
    <col min="12809" max="12809" width="15" style="69" customWidth="1"/>
    <col min="12810" max="12810" width="47.42578125" style="69" customWidth="1"/>
    <col min="12811" max="13056" width="9.140625" style="69"/>
    <col min="13057" max="13057" width="3.85546875" style="69" customWidth="1"/>
    <col min="13058" max="13058" width="28.5703125" style="69" customWidth="1"/>
    <col min="13059" max="13059" width="11.28515625" style="69" customWidth="1"/>
    <col min="13060" max="13060" width="13.140625" style="69" customWidth="1"/>
    <col min="13061" max="13061" width="28.28515625" style="69" customWidth="1"/>
    <col min="13062" max="13062" width="7.28515625" style="69" customWidth="1"/>
    <col min="13063" max="13063" width="22.7109375" style="69" customWidth="1"/>
    <col min="13064" max="13064" width="16.85546875" style="69" customWidth="1"/>
    <col min="13065" max="13065" width="15" style="69" customWidth="1"/>
    <col min="13066" max="13066" width="47.42578125" style="69" customWidth="1"/>
    <col min="13067" max="13312" width="9.140625" style="69"/>
    <col min="13313" max="13313" width="3.85546875" style="69" customWidth="1"/>
    <col min="13314" max="13314" width="28.5703125" style="69" customWidth="1"/>
    <col min="13315" max="13315" width="11.28515625" style="69" customWidth="1"/>
    <col min="13316" max="13316" width="13.140625" style="69" customWidth="1"/>
    <col min="13317" max="13317" width="28.28515625" style="69" customWidth="1"/>
    <col min="13318" max="13318" width="7.28515625" style="69" customWidth="1"/>
    <col min="13319" max="13319" width="22.7109375" style="69" customWidth="1"/>
    <col min="13320" max="13320" width="16.85546875" style="69" customWidth="1"/>
    <col min="13321" max="13321" width="15" style="69" customWidth="1"/>
    <col min="13322" max="13322" width="47.42578125" style="69" customWidth="1"/>
    <col min="13323" max="13568" width="9.140625" style="69"/>
    <col min="13569" max="13569" width="3.85546875" style="69" customWidth="1"/>
    <col min="13570" max="13570" width="28.5703125" style="69" customWidth="1"/>
    <col min="13571" max="13571" width="11.28515625" style="69" customWidth="1"/>
    <col min="13572" max="13572" width="13.140625" style="69" customWidth="1"/>
    <col min="13573" max="13573" width="28.28515625" style="69" customWidth="1"/>
    <col min="13574" max="13574" width="7.28515625" style="69" customWidth="1"/>
    <col min="13575" max="13575" width="22.7109375" style="69" customWidth="1"/>
    <col min="13576" max="13576" width="16.85546875" style="69" customWidth="1"/>
    <col min="13577" max="13577" width="15" style="69" customWidth="1"/>
    <col min="13578" max="13578" width="47.42578125" style="69" customWidth="1"/>
    <col min="13579" max="13824" width="9.140625" style="69"/>
    <col min="13825" max="13825" width="3.85546875" style="69" customWidth="1"/>
    <col min="13826" max="13826" width="28.5703125" style="69" customWidth="1"/>
    <col min="13827" max="13827" width="11.28515625" style="69" customWidth="1"/>
    <col min="13828" max="13828" width="13.140625" style="69" customWidth="1"/>
    <col min="13829" max="13829" width="28.28515625" style="69" customWidth="1"/>
    <col min="13830" max="13830" width="7.28515625" style="69" customWidth="1"/>
    <col min="13831" max="13831" width="22.7109375" style="69" customWidth="1"/>
    <col min="13832" max="13832" width="16.85546875" style="69" customWidth="1"/>
    <col min="13833" max="13833" width="15" style="69" customWidth="1"/>
    <col min="13834" max="13834" width="47.42578125" style="69" customWidth="1"/>
    <col min="13835" max="14080" width="9.140625" style="69"/>
    <col min="14081" max="14081" width="3.85546875" style="69" customWidth="1"/>
    <col min="14082" max="14082" width="28.5703125" style="69" customWidth="1"/>
    <col min="14083" max="14083" width="11.28515625" style="69" customWidth="1"/>
    <col min="14084" max="14084" width="13.140625" style="69" customWidth="1"/>
    <col min="14085" max="14085" width="28.28515625" style="69" customWidth="1"/>
    <col min="14086" max="14086" width="7.28515625" style="69" customWidth="1"/>
    <col min="14087" max="14087" width="22.7109375" style="69" customWidth="1"/>
    <col min="14088" max="14088" width="16.85546875" style="69" customWidth="1"/>
    <col min="14089" max="14089" width="15" style="69" customWidth="1"/>
    <col min="14090" max="14090" width="47.42578125" style="69" customWidth="1"/>
    <col min="14091" max="14336" width="9.140625" style="69"/>
    <col min="14337" max="14337" width="3.85546875" style="69" customWidth="1"/>
    <col min="14338" max="14338" width="28.5703125" style="69" customWidth="1"/>
    <col min="14339" max="14339" width="11.28515625" style="69" customWidth="1"/>
    <col min="14340" max="14340" width="13.140625" style="69" customWidth="1"/>
    <col min="14341" max="14341" width="28.28515625" style="69" customWidth="1"/>
    <col min="14342" max="14342" width="7.28515625" style="69" customWidth="1"/>
    <col min="14343" max="14343" width="22.7109375" style="69" customWidth="1"/>
    <col min="14344" max="14344" width="16.85546875" style="69" customWidth="1"/>
    <col min="14345" max="14345" width="15" style="69" customWidth="1"/>
    <col min="14346" max="14346" width="47.42578125" style="69" customWidth="1"/>
    <col min="14347" max="14592" width="9.140625" style="69"/>
    <col min="14593" max="14593" width="3.85546875" style="69" customWidth="1"/>
    <col min="14594" max="14594" width="28.5703125" style="69" customWidth="1"/>
    <col min="14595" max="14595" width="11.28515625" style="69" customWidth="1"/>
    <col min="14596" max="14596" width="13.140625" style="69" customWidth="1"/>
    <col min="14597" max="14597" width="28.28515625" style="69" customWidth="1"/>
    <col min="14598" max="14598" width="7.28515625" style="69" customWidth="1"/>
    <col min="14599" max="14599" width="22.7109375" style="69" customWidth="1"/>
    <col min="14600" max="14600" width="16.85546875" style="69" customWidth="1"/>
    <col min="14601" max="14601" width="15" style="69" customWidth="1"/>
    <col min="14602" max="14602" width="47.42578125" style="69" customWidth="1"/>
    <col min="14603" max="14848" width="9.140625" style="69"/>
    <col min="14849" max="14849" width="3.85546875" style="69" customWidth="1"/>
    <col min="14850" max="14850" width="28.5703125" style="69" customWidth="1"/>
    <col min="14851" max="14851" width="11.28515625" style="69" customWidth="1"/>
    <col min="14852" max="14852" width="13.140625" style="69" customWidth="1"/>
    <col min="14853" max="14853" width="28.28515625" style="69" customWidth="1"/>
    <col min="14854" max="14854" width="7.28515625" style="69" customWidth="1"/>
    <col min="14855" max="14855" width="22.7109375" style="69" customWidth="1"/>
    <col min="14856" max="14856" width="16.85546875" style="69" customWidth="1"/>
    <col min="14857" max="14857" width="15" style="69" customWidth="1"/>
    <col min="14858" max="14858" width="47.42578125" style="69" customWidth="1"/>
    <col min="14859" max="15104" width="9.140625" style="69"/>
    <col min="15105" max="15105" width="3.85546875" style="69" customWidth="1"/>
    <col min="15106" max="15106" width="28.5703125" style="69" customWidth="1"/>
    <col min="15107" max="15107" width="11.28515625" style="69" customWidth="1"/>
    <col min="15108" max="15108" width="13.140625" style="69" customWidth="1"/>
    <col min="15109" max="15109" width="28.28515625" style="69" customWidth="1"/>
    <col min="15110" max="15110" width="7.28515625" style="69" customWidth="1"/>
    <col min="15111" max="15111" width="22.7109375" style="69" customWidth="1"/>
    <col min="15112" max="15112" width="16.85546875" style="69" customWidth="1"/>
    <col min="15113" max="15113" width="15" style="69" customWidth="1"/>
    <col min="15114" max="15114" width="47.42578125" style="69" customWidth="1"/>
    <col min="15115" max="15360" width="9.140625" style="69"/>
    <col min="15361" max="15361" width="3.85546875" style="69" customWidth="1"/>
    <col min="15362" max="15362" width="28.5703125" style="69" customWidth="1"/>
    <col min="15363" max="15363" width="11.28515625" style="69" customWidth="1"/>
    <col min="15364" max="15364" width="13.140625" style="69" customWidth="1"/>
    <col min="15365" max="15365" width="28.28515625" style="69" customWidth="1"/>
    <col min="15366" max="15366" width="7.28515625" style="69" customWidth="1"/>
    <col min="15367" max="15367" width="22.7109375" style="69" customWidth="1"/>
    <col min="15368" max="15368" width="16.85546875" style="69" customWidth="1"/>
    <col min="15369" max="15369" width="15" style="69" customWidth="1"/>
    <col min="15370" max="15370" width="47.42578125" style="69" customWidth="1"/>
    <col min="15371" max="15616" width="9.140625" style="69"/>
    <col min="15617" max="15617" width="3.85546875" style="69" customWidth="1"/>
    <col min="15618" max="15618" width="28.5703125" style="69" customWidth="1"/>
    <col min="15619" max="15619" width="11.28515625" style="69" customWidth="1"/>
    <col min="15620" max="15620" width="13.140625" style="69" customWidth="1"/>
    <col min="15621" max="15621" width="28.28515625" style="69" customWidth="1"/>
    <col min="15622" max="15622" width="7.28515625" style="69" customWidth="1"/>
    <col min="15623" max="15623" width="22.7109375" style="69" customWidth="1"/>
    <col min="15624" max="15624" width="16.85546875" style="69" customWidth="1"/>
    <col min="15625" max="15625" width="15" style="69" customWidth="1"/>
    <col min="15626" max="15626" width="47.42578125" style="69" customWidth="1"/>
    <col min="15627" max="15872" width="9.140625" style="69"/>
    <col min="15873" max="15873" width="3.85546875" style="69" customWidth="1"/>
    <col min="15874" max="15874" width="28.5703125" style="69" customWidth="1"/>
    <col min="15875" max="15875" width="11.28515625" style="69" customWidth="1"/>
    <col min="15876" max="15876" width="13.140625" style="69" customWidth="1"/>
    <col min="15877" max="15877" width="28.28515625" style="69" customWidth="1"/>
    <col min="15878" max="15878" width="7.28515625" style="69" customWidth="1"/>
    <col min="15879" max="15879" width="22.7109375" style="69" customWidth="1"/>
    <col min="15880" max="15880" width="16.85546875" style="69" customWidth="1"/>
    <col min="15881" max="15881" width="15" style="69" customWidth="1"/>
    <col min="15882" max="15882" width="47.42578125" style="69" customWidth="1"/>
    <col min="15883" max="16128" width="9.140625" style="69"/>
    <col min="16129" max="16129" width="3.85546875" style="69" customWidth="1"/>
    <col min="16130" max="16130" width="28.5703125" style="69" customWidth="1"/>
    <col min="16131" max="16131" width="11.28515625" style="69" customWidth="1"/>
    <col min="16132" max="16132" width="13.140625" style="69" customWidth="1"/>
    <col min="16133" max="16133" width="28.28515625" style="69" customWidth="1"/>
    <col min="16134" max="16134" width="7.28515625" style="69" customWidth="1"/>
    <col min="16135" max="16135" width="22.7109375" style="69" customWidth="1"/>
    <col min="16136" max="16136" width="16.85546875" style="69" customWidth="1"/>
    <col min="16137" max="16137" width="15" style="69" customWidth="1"/>
    <col min="16138" max="16138" width="47.42578125" style="69" customWidth="1"/>
    <col min="16139" max="16384" width="9.140625" style="69"/>
  </cols>
  <sheetData>
    <row r="1" spans="1:9" x14ac:dyDescent="0.2">
      <c r="C1" s="336"/>
      <c r="G1" s="142"/>
      <c r="H1" s="345"/>
    </row>
    <row r="2" spans="1:9" x14ac:dyDescent="0.2">
      <c r="C2" s="336"/>
      <c r="G2" s="142"/>
      <c r="H2" s="161"/>
    </row>
    <row r="3" spans="1:9" x14ac:dyDescent="0.2">
      <c r="C3" s="336"/>
      <c r="G3" s="56"/>
      <c r="H3" s="161"/>
    </row>
    <row r="4" spans="1:9" s="347" customFormat="1" x14ac:dyDescent="0.2">
      <c r="A4" s="346"/>
      <c r="B4" s="346"/>
      <c r="C4" s="346"/>
      <c r="D4" s="346"/>
      <c r="E4" s="346"/>
      <c r="F4" s="346"/>
      <c r="G4" s="346"/>
      <c r="H4" s="346"/>
    </row>
    <row r="5" spans="1:9" x14ac:dyDescent="0.2">
      <c r="D5" s="74"/>
      <c r="F5" s="75"/>
      <c r="G5" s="76"/>
    </row>
    <row r="6" spans="1:9" x14ac:dyDescent="0.2">
      <c r="A6" s="1896" t="s">
        <v>215</v>
      </c>
      <c r="B6" s="1896"/>
      <c r="C6" s="1896"/>
      <c r="D6" s="1896"/>
      <c r="E6" s="1896"/>
      <c r="F6" s="1896"/>
      <c r="G6" s="1896"/>
      <c r="H6" s="1896"/>
    </row>
    <row r="7" spans="1:9" ht="45" customHeight="1" x14ac:dyDescent="0.2">
      <c r="A7" s="1897" t="str">
        <f>' ССР (нов)'!A6:G6</f>
        <v xml:space="preserve">Реконструкция теплового ввода </v>
      </c>
      <c r="B7" s="1897"/>
      <c r="C7" s="1897"/>
      <c r="D7" s="1897"/>
      <c r="E7" s="1897"/>
      <c r="F7" s="1897"/>
      <c r="G7" s="1897"/>
      <c r="H7" s="1897"/>
    </row>
    <row r="8" spans="1:9" ht="30.75" customHeight="1" x14ac:dyDescent="0.2">
      <c r="A8" s="1897" t="str">
        <f>' ССР (нов)'!A7:G7</f>
        <v>г. Москва , ул. Мневники д.4</v>
      </c>
      <c r="B8" s="1897"/>
      <c r="C8" s="1897"/>
      <c r="D8" s="1897"/>
      <c r="E8" s="1897"/>
      <c r="F8" s="1897"/>
      <c r="G8" s="1897"/>
      <c r="H8" s="1897"/>
    </row>
    <row r="9" spans="1:9" x14ac:dyDescent="0.2">
      <c r="A9" s="1897" t="s">
        <v>123</v>
      </c>
      <c r="B9" s="1897"/>
      <c r="C9" s="1897"/>
      <c r="D9" s="1897"/>
      <c r="E9" s="1897"/>
      <c r="F9" s="1897"/>
      <c r="G9" s="1897"/>
      <c r="H9" s="1897"/>
    </row>
    <row r="10" spans="1:9" ht="24" customHeight="1" x14ac:dyDescent="0.2">
      <c r="A10" s="1898" t="s">
        <v>124</v>
      </c>
      <c r="B10" s="1898"/>
      <c r="C10" s="1898"/>
      <c r="D10" s="1898"/>
      <c r="E10" s="1898"/>
      <c r="F10" s="1898"/>
      <c r="G10" s="1898"/>
      <c r="H10" s="1898"/>
    </row>
    <row r="11" spans="1:9" x14ac:dyDescent="0.2">
      <c r="A11" s="1896" t="s">
        <v>125</v>
      </c>
      <c r="B11" s="1896"/>
      <c r="C11" s="1896"/>
      <c r="D11" s="1896"/>
      <c r="E11" s="1896"/>
      <c r="F11" s="1896"/>
      <c r="G11" s="1896"/>
      <c r="H11" s="1896"/>
    </row>
    <row r="12" spans="1:9" ht="16.5" thickBot="1" x14ac:dyDescent="0.25">
      <c r="B12" s="80"/>
      <c r="C12" s="80"/>
      <c r="D12" s="69"/>
      <c r="I12" s="139"/>
    </row>
    <row r="13" spans="1:9" ht="36.75" thickBot="1" x14ac:dyDescent="0.25">
      <c r="A13" s="162" t="s">
        <v>19</v>
      </c>
      <c r="B13" s="1899" t="s">
        <v>3</v>
      </c>
      <c r="C13" s="1900"/>
      <c r="D13" s="163" t="s">
        <v>683</v>
      </c>
      <c r="E13" s="164" t="s">
        <v>4</v>
      </c>
      <c r="F13" s="165" t="s">
        <v>5</v>
      </c>
      <c r="G13" s="166" t="s">
        <v>0</v>
      </c>
      <c r="H13" s="163" t="s">
        <v>6</v>
      </c>
      <c r="I13" s="69" t="s">
        <v>754</v>
      </c>
    </row>
    <row r="14" spans="1:9" x14ac:dyDescent="0.2">
      <c r="A14" s="1869">
        <v>1</v>
      </c>
      <c r="B14" s="1977" t="s">
        <v>126</v>
      </c>
      <c r="C14" s="1971">
        <v>1</v>
      </c>
      <c r="D14" s="1975">
        <f>C16</f>
        <v>86460</v>
      </c>
      <c r="E14" s="1969" t="s">
        <v>184</v>
      </c>
      <c r="F14" s="1971">
        <v>1.2</v>
      </c>
      <c r="G14" s="1971" t="str">
        <f>CONCATENATE(D14,"*",F14,"*",F16)</f>
        <v>86460*1,2*0,3</v>
      </c>
      <c r="H14" s="1973">
        <f>ROUND(D14*F14*F16,2)</f>
        <v>31125.599999999999</v>
      </c>
    </row>
    <row r="15" spans="1:9" ht="78" customHeight="1" x14ac:dyDescent="0.2">
      <c r="A15" s="1870"/>
      <c r="B15" s="1978"/>
      <c r="C15" s="1972"/>
      <c r="D15" s="1976"/>
      <c r="E15" s="1970"/>
      <c r="F15" s="1972"/>
      <c r="G15" s="1972"/>
      <c r="H15" s="1974"/>
      <c r="I15" s="337">
        <f>H14*0.58</f>
        <v>18052.847999999998</v>
      </c>
    </row>
    <row r="16" spans="1:9" ht="78.75" x14ac:dyDescent="0.2">
      <c r="A16" s="1870"/>
      <c r="B16" s="90" t="s">
        <v>127</v>
      </c>
      <c r="C16" s="90">
        <v>86460</v>
      </c>
      <c r="D16" s="100"/>
      <c r="E16" s="100" t="s">
        <v>185</v>
      </c>
      <c r="F16" s="110">
        <v>0.3</v>
      </c>
      <c r="G16" s="348"/>
      <c r="H16" s="341"/>
    </row>
    <row r="17" spans="1:9" x14ac:dyDescent="0.2">
      <c r="A17" s="1870"/>
      <c r="B17" s="153" t="s">
        <v>12</v>
      </c>
      <c r="C17" s="1650"/>
      <c r="D17" s="1650"/>
      <c r="E17" s="1650"/>
      <c r="F17" s="1651"/>
      <c r="G17" s="348"/>
      <c r="H17" s="341"/>
    </row>
    <row r="18" spans="1:9" ht="16.5" customHeight="1" thickBot="1" x14ac:dyDescent="0.25">
      <c r="A18" s="1822"/>
      <c r="B18" s="1967" t="s">
        <v>757</v>
      </c>
      <c r="C18" s="1968"/>
      <c r="D18" s="1968"/>
      <c r="E18" s="1968"/>
      <c r="F18" s="1968"/>
      <c r="G18" s="1825">
        <v>0.57999999999999996</v>
      </c>
      <c r="H18" s="1823">
        <f>H14*0.58</f>
        <v>18052.847999999998</v>
      </c>
    </row>
    <row r="19" spans="1:9" x14ac:dyDescent="0.2">
      <c r="A19" s="1869">
        <v>2</v>
      </c>
      <c r="B19" s="1977" t="s">
        <v>128</v>
      </c>
      <c r="C19" s="1971">
        <v>1</v>
      </c>
      <c r="D19" s="1975">
        <f>ROUND(C21+C22*C19,2)</f>
        <v>30603</v>
      </c>
      <c r="E19" s="1969" t="s">
        <v>184</v>
      </c>
      <c r="F19" s="1971">
        <v>1.2</v>
      </c>
      <c r="G19" s="1972" t="str">
        <f>CONCATENATE(D19,"*",F19)</f>
        <v>30603*1,2</v>
      </c>
      <c r="H19" s="1973">
        <f>ROUND(D19*F19,2)</f>
        <v>36723.599999999999</v>
      </c>
    </row>
    <row r="20" spans="1:9" ht="93.75" customHeight="1" x14ac:dyDescent="0.2">
      <c r="A20" s="1870"/>
      <c r="B20" s="1978"/>
      <c r="C20" s="1972"/>
      <c r="D20" s="1976"/>
      <c r="E20" s="1970"/>
      <c r="F20" s="1972"/>
      <c r="G20" s="1972"/>
      <c r="H20" s="1974"/>
      <c r="I20" s="337">
        <f>H19*0.42</f>
        <v>15423.911999999998</v>
      </c>
    </row>
    <row r="21" spans="1:9" ht="37.5" customHeight="1" x14ac:dyDescent="0.2">
      <c r="A21" s="1870"/>
      <c r="B21" s="90" t="s">
        <v>129</v>
      </c>
      <c r="C21" s="90">
        <v>25980</v>
      </c>
      <c r="D21" s="100"/>
      <c r="E21" s="100"/>
      <c r="F21" s="110"/>
      <c r="G21" s="348"/>
      <c r="H21" s="341"/>
    </row>
    <row r="22" spans="1:9" x14ac:dyDescent="0.2">
      <c r="A22" s="1870"/>
      <c r="B22" s="153" t="s">
        <v>12</v>
      </c>
      <c r="C22" s="1651">
        <v>4623</v>
      </c>
      <c r="D22" s="1650"/>
      <c r="E22" s="1650"/>
      <c r="F22" s="1651"/>
      <c r="G22" s="348"/>
      <c r="H22" s="341"/>
    </row>
    <row r="23" spans="1:9" ht="16.5" customHeight="1" thickBot="1" x14ac:dyDescent="0.25">
      <c r="A23" s="1824"/>
      <c r="B23" s="1967" t="s">
        <v>757</v>
      </c>
      <c r="C23" s="1968"/>
      <c r="D23" s="1968"/>
      <c r="E23" s="1968"/>
      <c r="F23" s="1968"/>
      <c r="G23" s="1825">
        <v>0.42</v>
      </c>
      <c r="H23" s="1826">
        <f>H19*0.42</f>
        <v>15423.911999999998</v>
      </c>
    </row>
    <row r="24" spans="1:9" ht="24" customHeight="1" thickBot="1" x14ac:dyDescent="0.25">
      <c r="A24" s="132"/>
      <c r="B24" s="133" t="s">
        <v>132</v>
      </c>
      <c r="C24" s="135"/>
      <c r="D24" s="135"/>
      <c r="E24" s="135"/>
      <c r="F24" s="135"/>
      <c r="G24" s="135"/>
      <c r="H24" s="343">
        <f>ROUND(H14+H19,2)</f>
        <v>67849.2</v>
      </c>
      <c r="I24" s="69">
        <f>I15+I20</f>
        <v>33476.759999999995</v>
      </c>
    </row>
    <row r="25" spans="1:9" ht="40.5" hidden="1" customHeight="1" thickBot="1" x14ac:dyDescent="0.25">
      <c r="A25" s="350"/>
      <c r="B25" s="1888" t="s">
        <v>130</v>
      </c>
      <c r="C25" s="1888"/>
      <c r="D25" s="1888"/>
      <c r="E25" s="149" t="s">
        <v>186</v>
      </c>
      <c r="F25" s="105">
        <v>1</v>
      </c>
      <c r="G25" s="105" t="str">
        <f>CONCATENATE(H24,"*",F25)</f>
        <v>67849,2*1</v>
      </c>
      <c r="H25" s="343">
        <f>ROUND(H24*F25,2)</f>
        <v>67849.2</v>
      </c>
    </row>
    <row r="26" spans="1:9" ht="27.75" customHeight="1" thickBot="1" x14ac:dyDescent="0.25">
      <c r="A26" s="104"/>
      <c r="B26" s="1888" t="s">
        <v>133</v>
      </c>
      <c r="C26" s="1888"/>
      <c r="D26" s="1888"/>
      <c r="E26" s="105" t="s">
        <v>131</v>
      </c>
      <c r="F26" s="105">
        <v>1.19</v>
      </c>
      <c r="G26" s="105" t="str">
        <f>CONCATENATE(H25,"/",F26)</f>
        <v>67849,2/1,19</v>
      </c>
      <c r="H26" s="343">
        <f>ROUND(H25/F26,2)</f>
        <v>57016.13</v>
      </c>
    </row>
    <row r="27" spans="1:9" x14ac:dyDescent="0.2">
      <c r="A27" s="338"/>
      <c r="B27" s="339"/>
      <c r="C27" s="339"/>
      <c r="D27" s="339"/>
      <c r="E27" s="339"/>
      <c r="F27" s="305"/>
      <c r="G27" s="349"/>
      <c r="H27" s="344"/>
    </row>
    <row r="28" spans="1:9" x14ac:dyDescent="0.2">
      <c r="A28" s="338"/>
      <c r="B28" s="339"/>
      <c r="C28" s="339"/>
      <c r="D28" s="339"/>
      <c r="E28" s="339"/>
      <c r="F28" s="305"/>
      <c r="G28" s="349"/>
      <c r="H28" s="340"/>
    </row>
  </sheetData>
  <mergeCells count="27">
    <mergeCell ref="B18:F18"/>
    <mergeCell ref="B13:C13"/>
    <mergeCell ref="B26:D26"/>
    <mergeCell ref="F14:F15"/>
    <mergeCell ref="A6:H6"/>
    <mergeCell ref="A7:H7"/>
    <mergeCell ref="A8:H8"/>
    <mergeCell ref="A9:H9"/>
    <mergeCell ref="A10:H10"/>
    <mergeCell ref="A11:H11"/>
    <mergeCell ref="B25:D25"/>
    <mergeCell ref="G14:G15"/>
    <mergeCell ref="H14:H15"/>
    <mergeCell ref="A19:A22"/>
    <mergeCell ref="B19:B20"/>
    <mergeCell ref="C19:C20"/>
    <mergeCell ref="A14:A17"/>
    <mergeCell ref="B14:B15"/>
    <mergeCell ref="C14:C15"/>
    <mergeCell ref="D14:D15"/>
    <mergeCell ref="E14:E15"/>
    <mergeCell ref="B23:F23"/>
    <mergeCell ref="E19:E20"/>
    <mergeCell ref="F19:F20"/>
    <mergeCell ref="G19:G20"/>
    <mergeCell ref="H19:H20"/>
    <mergeCell ref="D19:D20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D84"/>
  <sheetViews>
    <sheetView view="pageBreakPreview" topLeftCell="A20" zoomScale="90" zoomScaleNormal="100" zoomScaleSheetLayoutView="90" workbookViewId="0">
      <selection activeCell="E18" sqref="E18"/>
    </sheetView>
  </sheetViews>
  <sheetFormatPr defaultRowHeight="15.75" x14ac:dyDescent="0.25"/>
  <cols>
    <col min="1" max="1" width="4.140625" style="67" customWidth="1"/>
    <col min="2" max="2" width="24.85546875" style="58" customWidth="1"/>
    <col min="3" max="3" width="15.28515625" style="58" customWidth="1"/>
    <col min="4" max="4" width="23.5703125" style="58" customWidth="1"/>
    <col min="5" max="5" width="9.42578125" style="58" customWidth="1"/>
    <col min="6" max="6" width="24.140625" style="58" customWidth="1"/>
    <col min="7" max="7" width="12.5703125" style="58" customWidth="1"/>
    <col min="8" max="238" width="9.140625" style="58"/>
    <col min="239" max="239" width="4.140625" style="58" customWidth="1"/>
    <col min="240" max="240" width="29" style="58" customWidth="1"/>
    <col min="241" max="241" width="15.85546875" style="58" customWidth="1"/>
    <col min="242" max="242" width="25.85546875" style="58" customWidth="1"/>
    <col min="243" max="243" width="9.42578125" style="58" customWidth="1"/>
    <col min="244" max="244" width="18.28515625" style="58" customWidth="1"/>
    <col min="245" max="245" width="16.28515625" style="58" customWidth="1"/>
    <col min="246" max="246" width="10.7109375" style="58" customWidth="1"/>
    <col min="247" max="249" width="0" style="58" hidden="1" customWidth="1"/>
    <col min="250" max="250" width="16.7109375" style="58" customWidth="1"/>
    <col min="251" max="251" width="11.42578125" style="58" customWidth="1"/>
    <col min="252" max="494" width="9.140625" style="58"/>
    <col min="495" max="495" width="4.140625" style="58" customWidth="1"/>
    <col min="496" max="496" width="29" style="58" customWidth="1"/>
    <col min="497" max="497" width="15.85546875" style="58" customWidth="1"/>
    <col min="498" max="498" width="25.85546875" style="58" customWidth="1"/>
    <col min="499" max="499" width="9.42578125" style="58" customWidth="1"/>
    <col min="500" max="500" width="18.28515625" style="58" customWidth="1"/>
    <col min="501" max="501" width="16.28515625" style="58" customWidth="1"/>
    <col min="502" max="502" width="10.7109375" style="58" customWidth="1"/>
    <col min="503" max="505" width="0" style="58" hidden="1" customWidth="1"/>
    <col min="506" max="506" width="16.7109375" style="58" customWidth="1"/>
    <col min="507" max="507" width="11.42578125" style="58" customWidth="1"/>
    <col min="508" max="750" width="9.140625" style="58"/>
    <col min="751" max="751" width="4.140625" style="58" customWidth="1"/>
    <col min="752" max="752" width="29" style="58" customWidth="1"/>
    <col min="753" max="753" width="15.85546875" style="58" customWidth="1"/>
    <col min="754" max="754" width="25.85546875" style="58" customWidth="1"/>
    <col min="755" max="755" width="9.42578125" style="58" customWidth="1"/>
    <col min="756" max="756" width="18.28515625" style="58" customWidth="1"/>
    <col min="757" max="757" width="16.28515625" style="58" customWidth="1"/>
    <col min="758" max="758" width="10.7109375" style="58" customWidth="1"/>
    <col min="759" max="761" width="0" style="58" hidden="1" customWidth="1"/>
    <col min="762" max="762" width="16.7109375" style="58" customWidth="1"/>
    <col min="763" max="763" width="11.42578125" style="58" customWidth="1"/>
    <col min="764" max="1006" width="9.140625" style="58"/>
    <col min="1007" max="1007" width="4.140625" style="58" customWidth="1"/>
    <col min="1008" max="1008" width="29" style="58" customWidth="1"/>
    <col min="1009" max="1009" width="15.85546875" style="58" customWidth="1"/>
    <col min="1010" max="1010" width="25.85546875" style="58" customWidth="1"/>
    <col min="1011" max="1011" width="9.42578125" style="58" customWidth="1"/>
    <col min="1012" max="1012" width="18.28515625" style="58" customWidth="1"/>
    <col min="1013" max="1013" width="16.28515625" style="58" customWidth="1"/>
    <col min="1014" max="1014" width="10.7109375" style="58" customWidth="1"/>
    <col min="1015" max="1017" width="0" style="58" hidden="1" customWidth="1"/>
    <col min="1018" max="1018" width="16.7109375" style="58" customWidth="1"/>
    <col min="1019" max="1019" width="11.42578125" style="58" customWidth="1"/>
    <col min="1020" max="1262" width="9.140625" style="58"/>
    <col min="1263" max="1263" width="4.140625" style="58" customWidth="1"/>
    <col min="1264" max="1264" width="29" style="58" customWidth="1"/>
    <col min="1265" max="1265" width="15.85546875" style="58" customWidth="1"/>
    <col min="1266" max="1266" width="25.85546875" style="58" customWidth="1"/>
    <col min="1267" max="1267" width="9.42578125" style="58" customWidth="1"/>
    <col min="1268" max="1268" width="18.28515625" style="58" customWidth="1"/>
    <col min="1269" max="1269" width="16.28515625" style="58" customWidth="1"/>
    <col min="1270" max="1270" width="10.7109375" style="58" customWidth="1"/>
    <col min="1271" max="1273" width="0" style="58" hidden="1" customWidth="1"/>
    <col min="1274" max="1274" width="16.7109375" style="58" customWidth="1"/>
    <col min="1275" max="1275" width="11.42578125" style="58" customWidth="1"/>
    <col min="1276" max="1518" width="9.140625" style="58"/>
    <col min="1519" max="1519" width="4.140625" style="58" customWidth="1"/>
    <col min="1520" max="1520" width="29" style="58" customWidth="1"/>
    <col min="1521" max="1521" width="15.85546875" style="58" customWidth="1"/>
    <col min="1522" max="1522" width="25.85546875" style="58" customWidth="1"/>
    <col min="1523" max="1523" width="9.42578125" style="58" customWidth="1"/>
    <col min="1524" max="1524" width="18.28515625" style="58" customWidth="1"/>
    <col min="1525" max="1525" width="16.28515625" style="58" customWidth="1"/>
    <col min="1526" max="1526" width="10.7109375" style="58" customWidth="1"/>
    <col min="1527" max="1529" width="0" style="58" hidden="1" customWidth="1"/>
    <col min="1530" max="1530" width="16.7109375" style="58" customWidth="1"/>
    <col min="1531" max="1531" width="11.42578125" style="58" customWidth="1"/>
    <col min="1532" max="1774" width="9.140625" style="58"/>
    <col min="1775" max="1775" width="4.140625" style="58" customWidth="1"/>
    <col min="1776" max="1776" width="29" style="58" customWidth="1"/>
    <col min="1777" max="1777" width="15.85546875" style="58" customWidth="1"/>
    <col min="1778" max="1778" width="25.85546875" style="58" customWidth="1"/>
    <col min="1779" max="1779" width="9.42578125" style="58" customWidth="1"/>
    <col min="1780" max="1780" width="18.28515625" style="58" customWidth="1"/>
    <col min="1781" max="1781" width="16.28515625" style="58" customWidth="1"/>
    <col min="1782" max="1782" width="10.7109375" style="58" customWidth="1"/>
    <col min="1783" max="1785" width="0" style="58" hidden="1" customWidth="1"/>
    <col min="1786" max="1786" width="16.7109375" style="58" customWidth="1"/>
    <col min="1787" max="1787" width="11.42578125" style="58" customWidth="1"/>
    <col min="1788" max="2030" width="9.140625" style="58"/>
    <col min="2031" max="2031" width="4.140625" style="58" customWidth="1"/>
    <col min="2032" max="2032" width="29" style="58" customWidth="1"/>
    <col min="2033" max="2033" width="15.85546875" style="58" customWidth="1"/>
    <col min="2034" max="2034" width="25.85546875" style="58" customWidth="1"/>
    <col min="2035" max="2035" width="9.42578125" style="58" customWidth="1"/>
    <col min="2036" max="2036" width="18.28515625" style="58" customWidth="1"/>
    <col min="2037" max="2037" width="16.28515625" style="58" customWidth="1"/>
    <col min="2038" max="2038" width="10.7109375" style="58" customWidth="1"/>
    <col min="2039" max="2041" width="0" style="58" hidden="1" customWidth="1"/>
    <col min="2042" max="2042" width="16.7109375" style="58" customWidth="1"/>
    <col min="2043" max="2043" width="11.42578125" style="58" customWidth="1"/>
    <col min="2044" max="2286" width="9.140625" style="58"/>
    <col min="2287" max="2287" width="4.140625" style="58" customWidth="1"/>
    <col min="2288" max="2288" width="29" style="58" customWidth="1"/>
    <col min="2289" max="2289" width="15.85546875" style="58" customWidth="1"/>
    <col min="2290" max="2290" width="25.85546875" style="58" customWidth="1"/>
    <col min="2291" max="2291" width="9.42578125" style="58" customWidth="1"/>
    <col min="2292" max="2292" width="18.28515625" style="58" customWidth="1"/>
    <col min="2293" max="2293" width="16.28515625" style="58" customWidth="1"/>
    <col min="2294" max="2294" width="10.7109375" style="58" customWidth="1"/>
    <col min="2295" max="2297" width="0" style="58" hidden="1" customWidth="1"/>
    <col min="2298" max="2298" width="16.7109375" style="58" customWidth="1"/>
    <col min="2299" max="2299" width="11.42578125" style="58" customWidth="1"/>
    <col min="2300" max="2542" width="9.140625" style="58"/>
    <col min="2543" max="2543" width="4.140625" style="58" customWidth="1"/>
    <col min="2544" max="2544" width="29" style="58" customWidth="1"/>
    <col min="2545" max="2545" width="15.85546875" style="58" customWidth="1"/>
    <col min="2546" max="2546" width="25.85546875" style="58" customWidth="1"/>
    <col min="2547" max="2547" width="9.42578125" style="58" customWidth="1"/>
    <col min="2548" max="2548" width="18.28515625" style="58" customWidth="1"/>
    <col min="2549" max="2549" width="16.28515625" style="58" customWidth="1"/>
    <col min="2550" max="2550" width="10.7109375" style="58" customWidth="1"/>
    <col min="2551" max="2553" width="0" style="58" hidden="1" customWidth="1"/>
    <col min="2554" max="2554" width="16.7109375" style="58" customWidth="1"/>
    <col min="2555" max="2555" width="11.42578125" style="58" customWidth="1"/>
    <col min="2556" max="2798" width="9.140625" style="58"/>
    <col min="2799" max="2799" width="4.140625" style="58" customWidth="1"/>
    <col min="2800" max="2800" width="29" style="58" customWidth="1"/>
    <col min="2801" max="2801" width="15.85546875" style="58" customWidth="1"/>
    <col min="2802" max="2802" width="25.85546875" style="58" customWidth="1"/>
    <col min="2803" max="2803" width="9.42578125" style="58" customWidth="1"/>
    <col min="2804" max="2804" width="18.28515625" style="58" customWidth="1"/>
    <col min="2805" max="2805" width="16.28515625" style="58" customWidth="1"/>
    <col min="2806" max="2806" width="10.7109375" style="58" customWidth="1"/>
    <col min="2807" max="2809" width="0" style="58" hidden="1" customWidth="1"/>
    <col min="2810" max="2810" width="16.7109375" style="58" customWidth="1"/>
    <col min="2811" max="2811" width="11.42578125" style="58" customWidth="1"/>
    <col min="2812" max="3054" width="9.140625" style="58"/>
    <col min="3055" max="3055" width="4.140625" style="58" customWidth="1"/>
    <col min="3056" max="3056" width="29" style="58" customWidth="1"/>
    <col min="3057" max="3057" width="15.85546875" style="58" customWidth="1"/>
    <col min="3058" max="3058" width="25.85546875" style="58" customWidth="1"/>
    <col min="3059" max="3059" width="9.42578125" style="58" customWidth="1"/>
    <col min="3060" max="3060" width="18.28515625" style="58" customWidth="1"/>
    <col min="3061" max="3061" width="16.28515625" style="58" customWidth="1"/>
    <col min="3062" max="3062" width="10.7109375" style="58" customWidth="1"/>
    <col min="3063" max="3065" width="0" style="58" hidden="1" customWidth="1"/>
    <col min="3066" max="3066" width="16.7109375" style="58" customWidth="1"/>
    <col min="3067" max="3067" width="11.42578125" style="58" customWidth="1"/>
    <col min="3068" max="3310" width="9.140625" style="58"/>
    <col min="3311" max="3311" width="4.140625" style="58" customWidth="1"/>
    <col min="3312" max="3312" width="29" style="58" customWidth="1"/>
    <col min="3313" max="3313" width="15.85546875" style="58" customWidth="1"/>
    <col min="3314" max="3314" width="25.85546875" style="58" customWidth="1"/>
    <col min="3315" max="3315" width="9.42578125" style="58" customWidth="1"/>
    <col min="3316" max="3316" width="18.28515625" style="58" customWidth="1"/>
    <col min="3317" max="3317" width="16.28515625" style="58" customWidth="1"/>
    <col min="3318" max="3318" width="10.7109375" style="58" customWidth="1"/>
    <col min="3319" max="3321" width="0" style="58" hidden="1" customWidth="1"/>
    <col min="3322" max="3322" width="16.7109375" style="58" customWidth="1"/>
    <col min="3323" max="3323" width="11.42578125" style="58" customWidth="1"/>
    <col min="3324" max="3566" width="9.140625" style="58"/>
    <col min="3567" max="3567" width="4.140625" style="58" customWidth="1"/>
    <col min="3568" max="3568" width="29" style="58" customWidth="1"/>
    <col min="3569" max="3569" width="15.85546875" style="58" customWidth="1"/>
    <col min="3570" max="3570" width="25.85546875" style="58" customWidth="1"/>
    <col min="3571" max="3571" width="9.42578125" style="58" customWidth="1"/>
    <col min="3572" max="3572" width="18.28515625" style="58" customWidth="1"/>
    <col min="3573" max="3573" width="16.28515625" style="58" customWidth="1"/>
    <col min="3574" max="3574" width="10.7109375" style="58" customWidth="1"/>
    <col min="3575" max="3577" width="0" style="58" hidden="1" customWidth="1"/>
    <col min="3578" max="3578" width="16.7109375" style="58" customWidth="1"/>
    <col min="3579" max="3579" width="11.42578125" style="58" customWidth="1"/>
    <col min="3580" max="3822" width="9.140625" style="58"/>
    <col min="3823" max="3823" width="4.140625" style="58" customWidth="1"/>
    <col min="3824" max="3824" width="29" style="58" customWidth="1"/>
    <col min="3825" max="3825" width="15.85546875" style="58" customWidth="1"/>
    <col min="3826" max="3826" width="25.85546875" style="58" customWidth="1"/>
    <col min="3827" max="3827" width="9.42578125" style="58" customWidth="1"/>
    <col min="3828" max="3828" width="18.28515625" style="58" customWidth="1"/>
    <col min="3829" max="3829" width="16.28515625" style="58" customWidth="1"/>
    <col min="3830" max="3830" width="10.7109375" style="58" customWidth="1"/>
    <col min="3831" max="3833" width="0" style="58" hidden="1" customWidth="1"/>
    <col min="3834" max="3834" width="16.7109375" style="58" customWidth="1"/>
    <col min="3835" max="3835" width="11.42578125" style="58" customWidth="1"/>
    <col min="3836" max="4078" width="9.140625" style="58"/>
    <col min="4079" max="4079" width="4.140625" style="58" customWidth="1"/>
    <col min="4080" max="4080" width="29" style="58" customWidth="1"/>
    <col min="4081" max="4081" width="15.85546875" style="58" customWidth="1"/>
    <col min="4082" max="4082" width="25.85546875" style="58" customWidth="1"/>
    <col min="4083" max="4083" width="9.42578125" style="58" customWidth="1"/>
    <col min="4084" max="4084" width="18.28515625" style="58" customWidth="1"/>
    <col min="4085" max="4085" width="16.28515625" style="58" customWidth="1"/>
    <col min="4086" max="4086" width="10.7109375" style="58" customWidth="1"/>
    <col min="4087" max="4089" width="0" style="58" hidden="1" customWidth="1"/>
    <col min="4090" max="4090" width="16.7109375" style="58" customWidth="1"/>
    <col min="4091" max="4091" width="11.42578125" style="58" customWidth="1"/>
    <col min="4092" max="4334" width="9.140625" style="58"/>
    <col min="4335" max="4335" width="4.140625" style="58" customWidth="1"/>
    <col min="4336" max="4336" width="29" style="58" customWidth="1"/>
    <col min="4337" max="4337" width="15.85546875" style="58" customWidth="1"/>
    <col min="4338" max="4338" width="25.85546875" style="58" customWidth="1"/>
    <col min="4339" max="4339" width="9.42578125" style="58" customWidth="1"/>
    <col min="4340" max="4340" width="18.28515625" style="58" customWidth="1"/>
    <col min="4341" max="4341" width="16.28515625" style="58" customWidth="1"/>
    <col min="4342" max="4342" width="10.7109375" style="58" customWidth="1"/>
    <col min="4343" max="4345" width="0" style="58" hidden="1" customWidth="1"/>
    <col min="4346" max="4346" width="16.7109375" style="58" customWidth="1"/>
    <col min="4347" max="4347" width="11.42578125" style="58" customWidth="1"/>
    <col min="4348" max="4590" width="9.140625" style="58"/>
    <col min="4591" max="4591" width="4.140625" style="58" customWidth="1"/>
    <col min="4592" max="4592" width="29" style="58" customWidth="1"/>
    <col min="4593" max="4593" width="15.85546875" style="58" customWidth="1"/>
    <col min="4594" max="4594" width="25.85546875" style="58" customWidth="1"/>
    <col min="4595" max="4595" width="9.42578125" style="58" customWidth="1"/>
    <col min="4596" max="4596" width="18.28515625" style="58" customWidth="1"/>
    <col min="4597" max="4597" width="16.28515625" style="58" customWidth="1"/>
    <col min="4598" max="4598" width="10.7109375" style="58" customWidth="1"/>
    <col min="4599" max="4601" width="0" style="58" hidden="1" customWidth="1"/>
    <col min="4602" max="4602" width="16.7109375" style="58" customWidth="1"/>
    <col min="4603" max="4603" width="11.42578125" style="58" customWidth="1"/>
    <col min="4604" max="4846" width="9.140625" style="58"/>
    <col min="4847" max="4847" width="4.140625" style="58" customWidth="1"/>
    <col min="4848" max="4848" width="29" style="58" customWidth="1"/>
    <col min="4849" max="4849" width="15.85546875" style="58" customWidth="1"/>
    <col min="4850" max="4850" width="25.85546875" style="58" customWidth="1"/>
    <col min="4851" max="4851" width="9.42578125" style="58" customWidth="1"/>
    <col min="4852" max="4852" width="18.28515625" style="58" customWidth="1"/>
    <col min="4853" max="4853" width="16.28515625" style="58" customWidth="1"/>
    <col min="4854" max="4854" width="10.7109375" style="58" customWidth="1"/>
    <col min="4855" max="4857" width="0" style="58" hidden="1" customWidth="1"/>
    <col min="4858" max="4858" width="16.7109375" style="58" customWidth="1"/>
    <col min="4859" max="4859" width="11.42578125" style="58" customWidth="1"/>
    <col min="4860" max="5102" width="9.140625" style="58"/>
    <col min="5103" max="5103" width="4.140625" style="58" customWidth="1"/>
    <col min="5104" max="5104" width="29" style="58" customWidth="1"/>
    <col min="5105" max="5105" width="15.85546875" style="58" customWidth="1"/>
    <col min="5106" max="5106" width="25.85546875" style="58" customWidth="1"/>
    <col min="5107" max="5107" width="9.42578125" style="58" customWidth="1"/>
    <col min="5108" max="5108" width="18.28515625" style="58" customWidth="1"/>
    <col min="5109" max="5109" width="16.28515625" style="58" customWidth="1"/>
    <col min="5110" max="5110" width="10.7109375" style="58" customWidth="1"/>
    <col min="5111" max="5113" width="0" style="58" hidden="1" customWidth="1"/>
    <col min="5114" max="5114" width="16.7109375" style="58" customWidth="1"/>
    <col min="5115" max="5115" width="11.42578125" style="58" customWidth="1"/>
    <col min="5116" max="5358" width="9.140625" style="58"/>
    <col min="5359" max="5359" width="4.140625" style="58" customWidth="1"/>
    <col min="5360" max="5360" width="29" style="58" customWidth="1"/>
    <col min="5361" max="5361" width="15.85546875" style="58" customWidth="1"/>
    <col min="5362" max="5362" width="25.85546875" style="58" customWidth="1"/>
    <col min="5363" max="5363" width="9.42578125" style="58" customWidth="1"/>
    <col min="5364" max="5364" width="18.28515625" style="58" customWidth="1"/>
    <col min="5365" max="5365" width="16.28515625" style="58" customWidth="1"/>
    <col min="5366" max="5366" width="10.7109375" style="58" customWidth="1"/>
    <col min="5367" max="5369" width="0" style="58" hidden="1" customWidth="1"/>
    <col min="5370" max="5370" width="16.7109375" style="58" customWidth="1"/>
    <col min="5371" max="5371" width="11.42578125" style="58" customWidth="1"/>
    <col min="5372" max="5614" width="9.140625" style="58"/>
    <col min="5615" max="5615" width="4.140625" style="58" customWidth="1"/>
    <col min="5616" max="5616" width="29" style="58" customWidth="1"/>
    <col min="5617" max="5617" width="15.85546875" style="58" customWidth="1"/>
    <col min="5618" max="5618" width="25.85546875" style="58" customWidth="1"/>
    <col min="5619" max="5619" width="9.42578125" style="58" customWidth="1"/>
    <col min="5620" max="5620" width="18.28515625" style="58" customWidth="1"/>
    <col min="5621" max="5621" width="16.28515625" style="58" customWidth="1"/>
    <col min="5622" max="5622" width="10.7109375" style="58" customWidth="1"/>
    <col min="5623" max="5625" width="0" style="58" hidden="1" customWidth="1"/>
    <col min="5626" max="5626" width="16.7109375" style="58" customWidth="1"/>
    <col min="5627" max="5627" width="11.42578125" style="58" customWidth="1"/>
    <col min="5628" max="5870" width="9.140625" style="58"/>
    <col min="5871" max="5871" width="4.140625" style="58" customWidth="1"/>
    <col min="5872" max="5872" width="29" style="58" customWidth="1"/>
    <col min="5873" max="5873" width="15.85546875" style="58" customWidth="1"/>
    <col min="5874" max="5874" width="25.85546875" style="58" customWidth="1"/>
    <col min="5875" max="5875" width="9.42578125" style="58" customWidth="1"/>
    <col min="5876" max="5876" width="18.28515625" style="58" customWidth="1"/>
    <col min="5877" max="5877" width="16.28515625" style="58" customWidth="1"/>
    <col min="5878" max="5878" width="10.7109375" style="58" customWidth="1"/>
    <col min="5879" max="5881" width="0" style="58" hidden="1" customWidth="1"/>
    <col min="5882" max="5882" width="16.7109375" style="58" customWidth="1"/>
    <col min="5883" max="5883" width="11.42578125" style="58" customWidth="1"/>
    <col min="5884" max="6126" width="9.140625" style="58"/>
    <col min="6127" max="6127" width="4.140625" style="58" customWidth="1"/>
    <col min="6128" max="6128" width="29" style="58" customWidth="1"/>
    <col min="6129" max="6129" width="15.85546875" style="58" customWidth="1"/>
    <col min="6130" max="6130" width="25.85546875" style="58" customWidth="1"/>
    <col min="6131" max="6131" width="9.42578125" style="58" customWidth="1"/>
    <col min="6132" max="6132" width="18.28515625" style="58" customWidth="1"/>
    <col min="6133" max="6133" width="16.28515625" style="58" customWidth="1"/>
    <col min="6134" max="6134" width="10.7109375" style="58" customWidth="1"/>
    <col min="6135" max="6137" width="0" style="58" hidden="1" customWidth="1"/>
    <col min="6138" max="6138" width="16.7109375" style="58" customWidth="1"/>
    <col min="6139" max="6139" width="11.42578125" style="58" customWidth="1"/>
    <col min="6140" max="6382" width="9.140625" style="58"/>
    <col min="6383" max="6383" width="4.140625" style="58" customWidth="1"/>
    <col min="6384" max="6384" width="29" style="58" customWidth="1"/>
    <col min="6385" max="6385" width="15.85546875" style="58" customWidth="1"/>
    <col min="6386" max="6386" width="25.85546875" style="58" customWidth="1"/>
    <col min="6387" max="6387" width="9.42578125" style="58" customWidth="1"/>
    <col min="6388" max="6388" width="18.28515625" style="58" customWidth="1"/>
    <col min="6389" max="6389" width="16.28515625" style="58" customWidth="1"/>
    <col min="6390" max="6390" width="10.7109375" style="58" customWidth="1"/>
    <col min="6391" max="6393" width="0" style="58" hidden="1" customWidth="1"/>
    <col min="6394" max="6394" width="16.7109375" style="58" customWidth="1"/>
    <col min="6395" max="6395" width="11.42578125" style="58" customWidth="1"/>
    <col min="6396" max="6638" width="9.140625" style="58"/>
    <col min="6639" max="6639" width="4.140625" style="58" customWidth="1"/>
    <col min="6640" max="6640" width="29" style="58" customWidth="1"/>
    <col min="6641" max="6641" width="15.85546875" style="58" customWidth="1"/>
    <col min="6642" max="6642" width="25.85546875" style="58" customWidth="1"/>
    <col min="6643" max="6643" width="9.42578125" style="58" customWidth="1"/>
    <col min="6644" max="6644" width="18.28515625" style="58" customWidth="1"/>
    <col min="6645" max="6645" width="16.28515625" style="58" customWidth="1"/>
    <col min="6646" max="6646" width="10.7109375" style="58" customWidth="1"/>
    <col min="6647" max="6649" width="0" style="58" hidden="1" customWidth="1"/>
    <col min="6650" max="6650" width="16.7109375" style="58" customWidth="1"/>
    <col min="6651" max="6651" width="11.42578125" style="58" customWidth="1"/>
    <col min="6652" max="6894" width="9.140625" style="58"/>
    <col min="6895" max="6895" width="4.140625" style="58" customWidth="1"/>
    <col min="6896" max="6896" width="29" style="58" customWidth="1"/>
    <col min="6897" max="6897" width="15.85546875" style="58" customWidth="1"/>
    <col min="6898" max="6898" width="25.85546875" style="58" customWidth="1"/>
    <col min="6899" max="6899" width="9.42578125" style="58" customWidth="1"/>
    <col min="6900" max="6900" width="18.28515625" style="58" customWidth="1"/>
    <col min="6901" max="6901" width="16.28515625" style="58" customWidth="1"/>
    <col min="6902" max="6902" width="10.7109375" style="58" customWidth="1"/>
    <col min="6903" max="6905" width="0" style="58" hidden="1" customWidth="1"/>
    <col min="6906" max="6906" width="16.7109375" style="58" customWidth="1"/>
    <col min="6907" max="6907" width="11.42578125" style="58" customWidth="1"/>
    <col min="6908" max="7150" width="9.140625" style="58"/>
    <col min="7151" max="7151" width="4.140625" style="58" customWidth="1"/>
    <col min="7152" max="7152" width="29" style="58" customWidth="1"/>
    <col min="7153" max="7153" width="15.85546875" style="58" customWidth="1"/>
    <col min="7154" max="7154" width="25.85546875" style="58" customWidth="1"/>
    <col min="7155" max="7155" width="9.42578125" style="58" customWidth="1"/>
    <col min="7156" max="7156" width="18.28515625" style="58" customWidth="1"/>
    <col min="7157" max="7157" width="16.28515625" style="58" customWidth="1"/>
    <col min="7158" max="7158" width="10.7109375" style="58" customWidth="1"/>
    <col min="7159" max="7161" width="0" style="58" hidden="1" customWidth="1"/>
    <col min="7162" max="7162" width="16.7109375" style="58" customWidth="1"/>
    <col min="7163" max="7163" width="11.42578125" style="58" customWidth="1"/>
    <col min="7164" max="7406" width="9.140625" style="58"/>
    <col min="7407" max="7407" width="4.140625" style="58" customWidth="1"/>
    <col min="7408" max="7408" width="29" style="58" customWidth="1"/>
    <col min="7409" max="7409" width="15.85546875" style="58" customWidth="1"/>
    <col min="7410" max="7410" width="25.85546875" style="58" customWidth="1"/>
    <col min="7411" max="7411" width="9.42578125" style="58" customWidth="1"/>
    <col min="7412" max="7412" width="18.28515625" style="58" customWidth="1"/>
    <col min="7413" max="7413" width="16.28515625" style="58" customWidth="1"/>
    <col min="7414" max="7414" width="10.7109375" style="58" customWidth="1"/>
    <col min="7415" max="7417" width="0" style="58" hidden="1" customWidth="1"/>
    <col min="7418" max="7418" width="16.7109375" style="58" customWidth="1"/>
    <col min="7419" max="7419" width="11.42578125" style="58" customWidth="1"/>
    <col min="7420" max="7662" width="9.140625" style="58"/>
    <col min="7663" max="7663" width="4.140625" style="58" customWidth="1"/>
    <col min="7664" max="7664" width="29" style="58" customWidth="1"/>
    <col min="7665" max="7665" width="15.85546875" style="58" customWidth="1"/>
    <col min="7666" max="7666" width="25.85546875" style="58" customWidth="1"/>
    <col min="7667" max="7667" width="9.42578125" style="58" customWidth="1"/>
    <col min="7668" max="7668" width="18.28515625" style="58" customWidth="1"/>
    <col min="7669" max="7669" width="16.28515625" style="58" customWidth="1"/>
    <col min="7670" max="7670" width="10.7109375" style="58" customWidth="1"/>
    <col min="7671" max="7673" width="0" style="58" hidden="1" customWidth="1"/>
    <col min="7674" max="7674" width="16.7109375" style="58" customWidth="1"/>
    <col min="7675" max="7675" width="11.42578125" style="58" customWidth="1"/>
    <col min="7676" max="7918" width="9.140625" style="58"/>
    <col min="7919" max="7919" width="4.140625" style="58" customWidth="1"/>
    <col min="7920" max="7920" width="29" style="58" customWidth="1"/>
    <col min="7921" max="7921" width="15.85546875" style="58" customWidth="1"/>
    <col min="7922" max="7922" width="25.85546875" style="58" customWidth="1"/>
    <col min="7923" max="7923" width="9.42578125" style="58" customWidth="1"/>
    <col min="7924" max="7924" width="18.28515625" style="58" customWidth="1"/>
    <col min="7925" max="7925" width="16.28515625" style="58" customWidth="1"/>
    <col min="7926" max="7926" width="10.7109375" style="58" customWidth="1"/>
    <col min="7927" max="7929" width="0" style="58" hidden="1" customWidth="1"/>
    <col min="7930" max="7930" width="16.7109375" style="58" customWidth="1"/>
    <col min="7931" max="7931" width="11.42578125" style="58" customWidth="1"/>
    <col min="7932" max="8174" width="9.140625" style="58"/>
    <col min="8175" max="8175" width="4.140625" style="58" customWidth="1"/>
    <col min="8176" max="8176" width="29" style="58" customWidth="1"/>
    <col min="8177" max="8177" width="15.85546875" style="58" customWidth="1"/>
    <col min="8178" max="8178" width="25.85546875" style="58" customWidth="1"/>
    <col min="8179" max="8179" width="9.42578125" style="58" customWidth="1"/>
    <col min="8180" max="8180" width="18.28515625" style="58" customWidth="1"/>
    <col min="8181" max="8181" width="16.28515625" style="58" customWidth="1"/>
    <col min="8182" max="8182" width="10.7109375" style="58" customWidth="1"/>
    <col min="8183" max="8185" width="0" style="58" hidden="1" customWidth="1"/>
    <col min="8186" max="8186" width="16.7109375" style="58" customWidth="1"/>
    <col min="8187" max="8187" width="11.42578125" style="58" customWidth="1"/>
    <col min="8188" max="8430" width="9.140625" style="58"/>
    <col min="8431" max="8431" width="4.140625" style="58" customWidth="1"/>
    <col min="8432" max="8432" width="29" style="58" customWidth="1"/>
    <col min="8433" max="8433" width="15.85546875" style="58" customWidth="1"/>
    <col min="8434" max="8434" width="25.85546875" style="58" customWidth="1"/>
    <col min="8435" max="8435" width="9.42578125" style="58" customWidth="1"/>
    <col min="8436" max="8436" width="18.28515625" style="58" customWidth="1"/>
    <col min="8437" max="8437" width="16.28515625" style="58" customWidth="1"/>
    <col min="8438" max="8438" width="10.7109375" style="58" customWidth="1"/>
    <col min="8439" max="8441" width="0" style="58" hidden="1" customWidth="1"/>
    <col min="8442" max="8442" width="16.7109375" style="58" customWidth="1"/>
    <col min="8443" max="8443" width="11.42578125" style="58" customWidth="1"/>
    <col min="8444" max="8686" width="9.140625" style="58"/>
    <col min="8687" max="8687" width="4.140625" style="58" customWidth="1"/>
    <col min="8688" max="8688" width="29" style="58" customWidth="1"/>
    <col min="8689" max="8689" width="15.85546875" style="58" customWidth="1"/>
    <col min="8690" max="8690" width="25.85546875" style="58" customWidth="1"/>
    <col min="8691" max="8691" width="9.42578125" style="58" customWidth="1"/>
    <col min="8692" max="8692" width="18.28515625" style="58" customWidth="1"/>
    <col min="8693" max="8693" width="16.28515625" style="58" customWidth="1"/>
    <col min="8694" max="8694" width="10.7109375" style="58" customWidth="1"/>
    <col min="8695" max="8697" width="0" style="58" hidden="1" customWidth="1"/>
    <col min="8698" max="8698" width="16.7109375" style="58" customWidth="1"/>
    <col min="8699" max="8699" width="11.42578125" style="58" customWidth="1"/>
    <col min="8700" max="8942" width="9.140625" style="58"/>
    <col min="8943" max="8943" width="4.140625" style="58" customWidth="1"/>
    <col min="8944" max="8944" width="29" style="58" customWidth="1"/>
    <col min="8945" max="8945" width="15.85546875" style="58" customWidth="1"/>
    <col min="8946" max="8946" width="25.85546875" style="58" customWidth="1"/>
    <col min="8947" max="8947" width="9.42578125" style="58" customWidth="1"/>
    <col min="8948" max="8948" width="18.28515625" style="58" customWidth="1"/>
    <col min="8949" max="8949" width="16.28515625" style="58" customWidth="1"/>
    <col min="8950" max="8950" width="10.7109375" style="58" customWidth="1"/>
    <col min="8951" max="8953" width="0" style="58" hidden="1" customWidth="1"/>
    <col min="8954" max="8954" width="16.7109375" style="58" customWidth="1"/>
    <col min="8955" max="8955" width="11.42578125" style="58" customWidth="1"/>
    <col min="8956" max="9198" width="9.140625" style="58"/>
    <col min="9199" max="9199" width="4.140625" style="58" customWidth="1"/>
    <col min="9200" max="9200" width="29" style="58" customWidth="1"/>
    <col min="9201" max="9201" width="15.85546875" style="58" customWidth="1"/>
    <col min="9202" max="9202" width="25.85546875" style="58" customWidth="1"/>
    <col min="9203" max="9203" width="9.42578125" style="58" customWidth="1"/>
    <col min="9204" max="9204" width="18.28515625" style="58" customWidth="1"/>
    <col min="9205" max="9205" width="16.28515625" style="58" customWidth="1"/>
    <col min="9206" max="9206" width="10.7109375" style="58" customWidth="1"/>
    <col min="9207" max="9209" width="0" style="58" hidden="1" customWidth="1"/>
    <col min="9210" max="9210" width="16.7109375" style="58" customWidth="1"/>
    <col min="9211" max="9211" width="11.42578125" style="58" customWidth="1"/>
    <col min="9212" max="9454" width="9.140625" style="58"/>
    <col min="9455" max="9455" width="4.140625" style="58" customWidth="1"/>
    <col min="9456" max="9456" width="29" style="58" customWidth="1"/>
    <col min="9457" max="9457" width="15.85546875" style="58" customWidth="1"/>
    <col min="9458" max="9458" width="25.85546875" style="58" customWidth="1"/>
    <col min="9459" max="9459" width="9.42578125" style="58" customWidth="1"/>
    <col min="9460" max="9460" width="18.28515625" style="58" customWidth="1"/>
    <col min="9461" max="9461" width="16.28515625" style="58" customWidth="1"/>
    <col min="9462" max="9462" width="10.7109375" style="58" customWidth="1"/>
    <col min="9463" max="9465" width="0" style="58" hidden="1" customWidth="1"/>
    <col min="9466" max="9466" width="16.7109375" style="58" customWidth="1"/>
    <col min="9467" max="9467" width="11.42578125" style="58" customWidth="1"/>
    <col min="9468" max="9710" width="9.140625" style="58"/>
    <col min="9711" max="9711" width="4.140625" style="58" customWidth="1"/>
    <col min="9712" max="9712" width="29" style="58" customWidth="1"/>
    <col min="9713" max="9713" width="15.85546875" style="58" customWidth="1"/>
    <col min="9714" max="9714" width="25.85546875" style="58" customWidth="1"/>
    <col min="9715" max="9715" width="9.42578125" style="58" customWidth="1"/>
    <col min="9716" max="9716" width="18.28515625" style="58" customWidth="1"/>
    <col min="9717" max="9717" width="16.28515625" style="58" customWidth="1"/>
    <col min="9718" max="9718" width="10.7109375" style="58" customWidth="1"/>
    <col min="9719" max="9721" width="0" style="58" hidden="1" customWidth="1"/>
    <col min="9722" max="9722" width="16.7109375" style="58" customWidth="1"/>
    <col min="9723" max="9723" width="11.42578125" style="58" customWidth="1"/>
    <col min="9724" max="9966" width="9.140625" style="58"/>
    <col min="9967" max="9967" width="4.140625" style="58" customWidth="1"/>
    <col min="9968" max="9968" width="29" style="58" customWidth="1"/>
    <col min="9969" max="9969" width="15.85546875" style="58" customWidth="1"/>
    <col min="9970" max="9970" width="25.85546875" style="58" customWidth="1"/>
    <col min="9971" max="9971" width="9.42578125" style="58" customWidth="1"/>
    <col min="9972" max="9972" width="18.28515625" style="58" customWidth="1"/>
    <col min="9973" max="9973" width="16.28515625" style="58" customWidth="1"/>
    <col min="9974" max="9974" width="10.7109375" style="58" customWidth="1"/>
    <col min="9975" max="9977" width="0" style="58" hidden="1" customWidth="1"/>
    <col min="9978" max="9978" width="16.7109375" style="58" customWidth="1"/>
    <col min="9979" max="9979" width="11.42578125" style="58" customWidth="1"/>
    <col min="9980" max="10222" width="9.140625" style="58"/>
    <col min="10223" max="10223" width="4.140625" style="58" customWidth="1"/>
    <col min="10224" max="10224" width="29" style="58" customWidth="1"/>
    <col min="10225" max="10225" width="15.85546875" style="58" customWidth="1"/>
    <col min="10226" max="10226" width="25.85546875" style="58" customWidth="1"/>
    <col min="10227" max="10227" width="9.42578125" style="58" customWidth="1"/>
    <col min="10228" max="10228" width="18.28515625" style="58" customWidth="1"/>
    <col min="10229" max="10229" width="16.28515625" style="58" customWidth="1"/>
    <col min="10230" max="10230" width="10.7109375" style="58" customWidth="1"/>
    <col min="10231" max="10233" width="0" style="58" hidden="1" customWidth="1"/>
    <col min="10234" max="10234" width="16.7109375" style="58" customWidth="1"/>
    <col min="10235" max="10235" width="11.42578125" style="58" customWidth="1"/>
    <col min="10236" max="10478" width="9.140625" style="58"/>
    <col min="10479" max="10479" width="4.140625" style="58" customWidth="1"/>
    <col min="10480" max="10480" width="29" style="58" customWidth="1"/>
    <col min="10481" max="10481" width="15.85546875" style="58" customWidth="1"/>
    <col min="10482" max="10482" width="25.85546875" style="58" customWidth="1"/>
    <col min="10483" max="10483" width="9.42578125" style="58" customWidth="1"/>
    <col min="10484" max="10484" width="18.28515625" style="58" customWidth="1"/>
    <col min="10485" max="10485" width="16.28515625" style="58" customWidth="1"/>
    <col min="10486" max="10486" width="10.7109375" style="58" customWidth="1"/>
    <col min="10487" max="10489" width="0" style="58" hidden="1" customWidth="1"/>
    <col min="10490" max="10490" width="16.7109375" style="58" customWidth="1"/>
    <col min="10491" max="10491" width="11.42578125" style="58" customWidth="1"/>
    <col min="10492" max="10734" width="9.140625" style="58"/>
    <col min="10735" max="10735" width="4.140625" style="58" customWidth="1"/>
    <col min="10736" max="10736" width="29" style="58" customWidth="1"/>
    <col min="10737" max="10737" width="15.85546875" style="58" customWidth="1"/>
    <col min="10738" max="10738" width="25.85546875" style="58" customWidth="1"/>
    <col min="10739" max="10739" width="9.42578125" style="58" customWidth="1"/>
    <col min="10740" max="10740" width="18.28515625" style="58" customWidth="1"/>
    <col min="10741" max="10741" width="16.28515625" style="58" customWidth="1"/>
    <col min="10742" max="10742" width="10.7109375" style="58" customWidth="1"/>
    <col min="10743" max="10745" width="0" style="58" hidden="1" customWidth="1"/>
    <col min="10746" max="10746" width="16.7109375" style="58" customWidth="1"/>
    <col min="10747" max="10747" width="11.42578125" style="58" customWidth="1"/>
    <col min="10748" max="10990" width="9.140625" style="58"/>
    <col min="10991" max="10991" width="4.140625" style="58" customWidth="1"/>
    <col min="10992" max="10992" width="29" style="58" customWidth="1"/>
    <col min="10993" max="10993" width="15.85546875" style="58" customWidth="1"/>
    <col min="10994" max="10994" width="25.85546875" style="58" customWidth="1"/>
    <col min="10995" max="10995" width="9.42578125" style="58" customWidth="1"/>
    <col min="10996" max="10996" width="18.28515625" style="58" customWidth="1"/>
    <col min="10997" max="10997" width="16.28515625" style="58" customWidth="1"/>
    <col min="10998" max="10998" width="10.7109375" style="58" customWidth="1"/>
    <col min="10999" max="11001" width="0" style="58" hidden="1" customWidth="1"/>
    <col min="11002" max="11002" width="16.7109375" style="58" customWidth="1"/>
    <col min="11003" max="11003" width="11.42578125" style="58" customWidth="1"/>
    <col min="11004" max="11246" width="9.140625" style="58"/>
    <col min="11247" max="11247" width="4.140625" style="58" customWidth="1"/>
    <col min="11248" max="11248" width="29" style="58" customWidth="1"/>
    <col min="11249" max="11249" width="15.85546875" style="58" customWidth="1"/>
    <col min="11250" max="11250" width="25.85546875" style="58" customWidth="1"/>
    <col min="11251" max="11251" width="9.42578125" style="58" customWidth="1"/>
    <col min="11252" max="11252" width="18.28515625" style="58" customWidth="1"/>
    <col min="11253" max="11253" width="16.28515625" style="58" customWidth="1"/>
    <col min="11254" max="11254" width="10.7109375" style="58" customWidth="1"/>
    <col min="11255" max="11257" width="0" style="58" hidden="1" customWidth="1"/>
    <col min="11258" max="11258" width="16.7109375" style="58" customWidth="1"/>
    <col min="11259" max="11259" width="11.42578125" style="58" customWidth="1"/>
    <col min="11260" max="11502" width="9.140625" style="58"/>
    <col min="11503" max="11503" width="4.140625" style="58" customWidth="1"/>
    <col min="11504" max="11504" width="29" style="58" customWidth="1"/>
    <col min="11505" max="11505" width="15.85546875" style="58" customWidth="1"/>
    <col min="11506" max="11506" width="25.85546875" style="58" customWidth="1"/>
    <col min="11507" max="11507" width="9.42578125" style="58" customWidth="1"/>
    <col min="11508" max="11508" width="18.28515625" style="58" customWidth="1"/>
    <col min="11509" max="11509" width="16.28515625" style="58" customWidth="1"/>
    <col min="11510" max="11510" width="10.7109375" style="58" customWidth="1"/>
    <col min="11511" max="11513" width="0" style="58" hidden="1" customWidth="1"/>
    <col min="11514" max="11514" width="16.7109375" style="58" customWidth="1"/>
    <col min="11515" max="11515" width="11.42578125" style="58" customWidth="1"/>
    <col min="11516" max="11758" width="9.140625" style="58"/>
    <col min="11759" max="11759" width="4.140625" style="58" customWidth="1"/>
    <col min="11760" max="11760" width="29" style="58" customWidth="1"/>
    <col min="11761" max="11761" width="15.85546875" style="58" customWidth="1"/>
    <col min="11762" max="11762" width="25.85546875" style="58" customWidth="1"/>
    <col min="11763" max="11763" width="9.42578125" style="58" customWidth="1"/>
    <col min="11764" max="11764" width="18.28515625" style="58" customWidth="1"/>
    <col min="11765" max="11765" width="16.28515625" style="58" customWidth="1"/>
    <col min="11766" max="11766" width="10.7109375" style="58" customWidth="1"/>
    <col min="11767" max="11769" width="0" style="58" hidden="1" customWidth="1"/>
    <col min="11770" max="11770" width="16.7109375" style="58" customWidth="1"/>
    <col min="11771" max="11771" width="11.42578125" style="58" customWidth="1"/>
    <col min="11772" max="12014" width="9.140625" style="58"/>
    <col min="12015" max="12015" width="4.140625" style="58" customWidth="1"/>
    <col min="12016" max="12016" width="29" style="58" customWidth="1"/>
    <col min="12017" max="12017" width="15.85546875" style="58" customWidth="1"/>
    <col min="12018" max="12018" width="25.85546875" style="58" customWidth="1"/>
    <col min="12019" max="12019" width="9.42578125" style="58" customWidth="1"/>
    <col min="12020" max="12020" width="18.28515625" style="58" customWidth="1"/>
    <col min="12021" max="12021" width="16.28515625" style="58" customWidth="1"/>
    <col min="12022" max="12022" width="10.7109375" style="58" customWidth="1"/>
    <col min="12023" max="12025" width="0" style="58" hidden="1" customWidth="1"/>
    <col min="12026" max="12026" width="16.7109375" style="58" customWidth="1"/>
    <col min="12027" max="12027" width="11.42578125" style="58" customWidth="1"/>
    <col min="12028" max="12270" width="9.140625" style="58"/>
    <col min="12271" max="12271" width="4.140625" style="58" customWidth="1"/>
    <col min="12272" max="12272" width="29" style="58" customWidth="1"/>
    <col min="12273" max="12273" width="15.85546875" style="58" customWidth="1"/>
    <col min="12274" max="12274" width="25.85546875" style="58" customWidth="1"/>
    <col min="12275" max="12275" width="9.42578125" style="58" customWidth="1"/>
    <col min="12276" max="12276" width="18.28515625" style="58" customWidth="1"/>
    <col min="12277" max="12277" width="16.28515625" style="58" customWidth="1"/>
    <col min="12278" max="12278" width="10.7109375" style="58" customWidth="1"/>
    <col min="12279" max="12281" width="0" style="58" hidden="1" customWidth="1"/>
    <col min="12282" max="12282" width="16.7109375" style="58" customWidth="1"/>
    <col min="12283" max="12283" width="11.42578125" style="58" customWidth="1"/>
    <col min="12284" max="12526" width="9.140625" style="58"/>
    <col min="12527" max="12527" width="4.140625" style="58" customWidth="1"/>
    <col min="12528" max="12528" width="29" style="58" customWidth="1"/>
    <col min="12529" max="12529" width="15.85546875" style="58" customWidth="1"/>
    <col min="12530" max="12530" width="25.85546875" style="58" customWidth="1"/>
    <col min="12531" max="12531" width="9.42578125" style="58" customWidth="1"/>
    <col min="12532" max="12532" width="18.28515625" style="58" customWidth="1"/>
    <col min="12533" max="12533" width="16.28515625" style="58" customWidth="1"/>
    <col min="12534" max="12534" width="10.7109375" style="58" customWidth="1"/>
    <col min="12535" max="12537" width="0" style="58" hidden="1" customWidth="1"/>
    <col min="12538" max="12538" width="16.7109375" style="58" customWidth="1"/>
    <col min="12539" max="12539" width="11.42578125" style="58" customWidth="1"/>
    <col min="12540" max="12782" width="9.140625" style="58"/>
    <col min="12783" max="12783" width="4.140625" style="58" customWidth="1"/>
    <col min="12784" max="12784" width="29" style="58" customWidth="1"/>
    <col min="12785" max="12785" width="15.85546875" style="58" customWidth="1"/>
    <col min="12786" max="12786" width="25.85546875" style="58" customWidth="1"/>
    <col min="12787" max="12787" width="9.42578125" style="58" customWidth="1"/>
    <col min="12788" max="12788" width="18.28515625" style="58" customWidth="1"/>
    <col min="12789" max="12789" width="16.28515625" style="58" customWidth="1"/>
    <col min="12790" max="12790" width="10.7109375" style="58" customWidth="1"/>
    <col min="12791" max="12793" width="0" style="58" hidden="1" customWidth="1"/>
    <col min="12794" max="12794" width="16.7109375" style="58" customWidth="1"/>
    <col min="12795" max="12795" width="11.42578125" style="58" customWidth="1"/>
    <col min="12796" max="13038" width="9.140625" style="58"/>
    <col min="13039" max="13039" width="4.140625" style="58" customWidth="1"/>
    <col min="13040" max="13040" width="29" style="58" customWidth="1"/>
    <col min="13041" max="13041" width="15.85546875" style="58" customWidth="1"/>
    <col min="13042" max="13042" width="25.85546875" style="58" customWidth="1"/>
    <col min="13043" max="13043" width="9.42578125" style="58" customWidth="1"/>
    <col min="13044" max="13044" width="18.28515625" style="58" customWidth="1"/>
    <col min="13045" max="13045" width="16.28515625" style="58" customWidth="1"/>
    <col min="13046" max="13046" width="10.7109375" style="58" customWidth="1"/>
    <col min="13047" max="13049" width="0" style="58" hidden="1" customWidth="1"/>
    <col min="13050" max="13050" width="16.7109375" style="58" customWidth="1"/>
    <col min="13051" max="13051" width="11.42578125" style="58" customWidth="1"/>
    <col min="13052" max="13294" width="9.140625" style="58"/>
    <col min="13295" max="13295" width="4.140625" style="58" customWidth="1"/>
    <col min="13296" max="13296" width="29" style="58" customWidth="1"/>
    <col min="13297" max="13297" width="15.85546875" style="58" customWidth="1"/>
    <col min="13298" max="13298" width="25.85546875" style="58" customWidth="1"/>
    <col min="13299" max="13299" width="9.42578125" style="58" customWidth="1"/>
    <col min="13300" max="13300" width="18.28515625" style="58" customWidth="1"/>
    <col min="13301" max="13301" width="16.28515625" style="58" customWidth="1"/>
    <col min="13302" max="13302" width="10.7109375" style="58" customWidth="1"/>
    <col min="13303" max="13305" width="0" style="58" hidden="1" customWidth="1"/>
    <col min="13306" max="13306" width="16.7109375" style="58" customWidth="1"/>
    <col min="13307" max="13307" width="11.42578125" style="58" customWidth="1"/>
    <col min="13308" max="13550" width="9.140625" style="58"/>
    <col min="13551" max="13551" width="4.140625" style="58" customWidth="1"/>
    <col min="13552" max="13552" width="29" style="58" customWidth="1"/>
    <col min="13553" max="13553" width="15.85546875" style="58" customWidth="1"/>
    <col min="13554" max="13554" width="25.85546875" style="58" customWidth="1"/>
    <col min="13555" max="13555" width="9.42578125" style="58" customWidth="1"/>
    <col min="13556" max="13556" width="18.28515625" style="58" customWidth="1"/>
    <col min="13557" max="13557" width="16.28515625" style="58" customWidth="1"/>
    <col min="13558" max="13558" width="10.7109375" style="58" customWidth="1"/>
    <col min="13559" max="13561" width="0" style="58" hidden="1" customWidth="1"/>
    <col min="13562" max="13562" width="16.7109375" style="58" customWidth="1"/>
    <col min="13563" max="13563" width="11.42578125" style="58" customWidth="1"/>
    <col min="13564" max="13806" width="9.140625" style="58"/>
    <col min="13807" max="13807" width="4.140625" style="58" customWidth="1"/>
    <col min="13808" max="13808" width="29" style="58" customWidth="1"/>
    <col min="13809" max="13809" width="15.85546875" style="58" customWidth="1"/>
    <col min="13810" max="13810" width="25.85546875" style="58" customWidth="1"/>
    <col min="13811" max="13811" width="9.42578125" style="58" customWidth="1"/>
    <col min="13812" max="13812" width="18.28515625" style="58" customWidth="1"/>
    <col min="13813" max="13813" width="16.28515625" style="58" customWidth="1"/>
    <col min="13814" max="13814" width="10.7109375" style="58" customWidth="1"/>
    <col min="13815" max="13817" width="0" style="58" hidden="1" customWidth="1"/>
    <col min="13818" max="13818" width="16.7109375" style="58" customWidth="1"/>
    <col min="13819" max="13819" width="11.42578125" style="58" customWidth="1"/>
    <col min="13820" max="14062" width="9.140625" style="58"/>
    <col min="14063" max="14063" width="4.140625" style="58" customWidth="1"/>
    <col min="14064" max="14064" width="29" style="58" customWidth="1"/>
    <col min="14065" max="14065" width="15.85546875" style="58" customWidth="1"/>
    <col min="14066" max="14066" width="25.85546875" style="58" customWidth="1"/>
    <col min="14067" max="14067" width="9.42578125" style="58" customWidth="1"/>
    <col min="14068" max="14068" width="18.28515625" style="58" customWidth="1"/>
    <col min="14069" max="14069" width="16.28515625" style="58" customWidth="1"/>
    <col min="14070" max="14070" width="10.7109375" style="58" customWidth="1"/>
    <col min="14071" max="14073" width="0" style="58" hidden="1" customWidth="1"/>
    <col min="14074" max="14074" width="16.7109375" style="58" customWidth="1"/>
    <col min="14075" max="14075" width="11.42578125" style="58" customWidth="1"/>
    <col min="14076" max="14318" width="9.140625" style="58"/>
    <col min="14319" max="14319" width="4.140625" style="58" customWidth="1"/>
    <col min="14320" max="14320" width="29" style="58" customWidth="1"/>
    <col min="14321" max="14321" width="15.85546875" style="58" customWidth="1"/>
    <col min="14322" max="14322" width="25.85546875" style="58" customWidth="1"/>
    <col min="14323" max="14323" width="9.42578125" style="58" customWidth="1"/>
    <col min="14324" max="14324" width="18.28515625" style="58" customWidth="1"/>
    <col min="14325" max="14325" width="16.28515625" style="58" customWidth="1"/>
    <col min="14326" max="14326" width="10.7109375" style="58" customWidth="1"/>
    <col min="14327" max="14329" width="0" style="58" hidden="1" customWidth="1"/>
    <col min="14330" max="14330" width="16.7109375" style="58" customWidth="1"/>
    <col min="14331" max="14331" width="11.42578125" style="58" customWidth="1"/>
    <col min="14332" max="14574" width="9.140625" style="58"/>
    <col min="14575" max="14575" width="4.140625" style="58" customWidth="1"/>
    <col min="14576" max="14576" width="29" style="58" customWidth="1"/>
    <col min="14577" max="14577" width="15.85546875" style="58" customWidth="1"/>
    <col min="14578" max="14578" width="25.85546875" style="58" customWidth="1"/>
    <col min="14579" max="14579" width="9.42578125" style="58" customWidth="1"/>
    <col min="14580" max="14580" width="18.28515625" style="58" customWidth="1"/>
    <col min="14581" max="14581" width="16.28515625" style="58" customWidth="1"/>
    <col min="14582" max="14582" width="10.7109375" style="58" customWidth="1"/>
    <col min="14583" max="14585" width="0" style="58" hidden="1" customWidth="1"/>
    <col min="14586" max="14586" width="16.7109375" style="58" customWidth="1"/>
    <col min="14587" max="14587" width="11.42578125" style="58" customWidth="1"/>
    <col min="14588" max="14830" width="9.140625" style="58"/>
    <col min="14831" max="14831" width="4.140625" style="58" customWidth="1"/>
    <col min="14832" max="14832" width="29" style="58" customWidth="1"/>
    <col min="14833" max="14833" width="15.85546875" style="58" customWidth="1"/>
    <col min="14834" max="14834" width="25.85546875" style="58" customWidth="1"/>
    <col min="14835" max="14835" width="9.42578125" style="58" customWidth="1"/>
    <col min="14836" max="14836" width="18.28515625" style="58" customWidth="1"/>
    <col min="14837" max="14837" width="16.28515625" style="58" customWidth="1"/>
    <col min="14838" max="14838" width="10.7109375" style="58" customWidth="1"/>
    <col min="14839" max="14841" width="0" style="58" hidden="1" customWidth="1"/>
    <col min="14842" max="14842" width="16.7109375" style="58" customWidth="1"/>
    <col min="14843" max="14843" width="11.42578125" style="58" customWidth="1"/>
    <col min="14844" max="15086" width="9.140625" style="58"/>
    <col min="15087" max="15087" width="4.140625" style="58" customWidth="1"/>
    <col min="15088" max="15088" width="29" style="58" customWidth="1"/>
    <col min="15089" max="15089" width="15.85546875" style="58" customWidth="1"/>
    <col min="15090" max="15090" width="25.85546875" style="58" customWidth="1"/>
    <col min="15091" max="15091" width="9.42578125" style="58" customWidth="1"/>
    <col min="15092" max="15092" width="18.28515625" style="58" customWidth="1"/>
    <col min="15093" max="15093" width="16.28515625" style="58" customWidth="1"/>
    <col min="15094" max="15094" width="10.7109375" style="58" customWidth="1"/>
    <col min="15095" max="15097" width="0" style="58" hidden="1" customWidth="1"/>
    <col min="15098" max="15098" width="16.7109375" style="58" customWidth="1"/>
    <col min="15099" max="15099" width="11.42578125" style="58" customWidth="1"/>
    <col min="15100" max="15342" width="9.140625" style="58"/>
    <col min="15343" max="15343" width="4.140625" style="58" customWidth="1"/>
    <col min="15344" max="15344" width="29" style="58" customWidth="1"/>
    <col min="15345" max="15345" width="15.85546875" style="58" customWidth="1"/>
    <col min="15346" max="15346" width="25.85546875" style="58" customWidth="1"/>
    <col min="15347" max="15347" width="9.42578125" style="58" customWidth="1"/>
    <col min="15348" max="15348" width="18.28515625" style="58" customWidth="1"/>
    <col min="15349" max="15349" width="16.28515625" style="58" customWidth="1"/>
    <col min="15350" max="15350" width="10.7109375" style="58" customWidth="1"/>
    <col min="15351" max="15353" width="0" style="58" hidden="1" customWidth="1"/>
    <col min="15354" max="15354" width="16.7109375" style="58" customWidth="1"/>
    <col min="15355" max="15355" width="11.42578125" style="58" customWidth="1"/>
    <col min="15356" max="15598" width="9.140625" style="58"/>
    <col min="15599" max="15599" width="4.140625" style="58" customWidth="1"/>
    <col min="15600" max="15600" width="29" style="58" customWidth="1"/>
    <col min="15601" max="15601" width="15.85546875" style="58" customWidth="1"/>
    <col min="15602" max="15602" width="25.85546875" style="58" customWidth="1"/>
    <col min="15603" max="15603" width="9.42578125" style="58" customWidth="1"/>
    <col min="15604" max="15604" width="18.28515625" style="58" customWidth="1"/>
    <col min="15605" max="15605" width="16.28515625" style="58" customWidth="1"/>
    <col min="15606" max="15606" width="10.7109375" style="58" customWidth="1"/>
    <col min="15607" max="15609" width="0" style="58" hidden="1" customWidth="1"/>
    <col min="15610" max="15610" width="16.7109375" style="58" customWidth="1"/>
    <col min="15611" max="15611" width="11.42578125" style="58" customWidth="1"/>
    <col min="15612" max="15854" width="9.140625" style="58"/>
    <col min="15855" max="15855" width="4.140625" style="58" customWidth="1"/>
    <col min="15856" max="15856" width="29" style="58" customWidth="1"/>
    <col min="15857" max="15857" width="15.85546875" style="58" customWidth="1"/>
    <col min="15858" max="15858" width="25.85546875" style="58" customWidth="1"/>
    <col min="15859" max="15859" width="9.42578125" style="58" customWidth="1"/>
    <col min="15860" max="15860" width="18.28515625" style="58" customWidth="1"/>
    <col min="15861" max="15861" width="16.28515625" style="58" customWidth="1"/>
    <col min="15862" max="15862" width="10.7109375" style="58" customWidth="1"/>
    <col min="15863" max="15865" width="0" style="58" hidden="1" customWidth="1"/>
    <col min="15866" max="15866" width="16.7109375" style="58" customWidth="1"/>
    <col min="15867" max="15867" width="11.42578125" style="58" customWidth="1"/>
    <col min="15868" max="16110" width="9.140625" style="58"/>
    <col min="16111" max="16111" width="4.140625" style="58" customWidth="1"/>
    <col min="16112" max="16112" width="29" style="58" customWidth="1"/>
    <col min="16113" max="16113" width="15.85546875" style="58" customWidth="1"/>
    <col min="16114" max="16114" width="25.85546875" style="58" customWidth="1"/>
    <col min="16115" max="16115" width="9.42578125" style="58" customWidth="1"/>
    <col min="16116" max="16116" width="18.28515625" style="58" customWidth="1"/>
    <col min="16117" max="16117" width="16.28515625" style="58" customWidth="1"/>
    <col min="16118" max="16118" width="10.7109375" style="58" customWidth="1"/>
    <col min="16119" max="16121" width="0" style="58" hidden="1" customWidth="1"/>
    <col min="16122" max="16122" width="16.7109375" style="58" customWidth="1"/>
    <col min="16123" max="16123" width="11.42578125" style="58" customWidth="1"/>
    <col min="16124" max="16384" width="9.140625" style="58"/>
  </cols>
  <sheetData>
    <row r="2" spans="1:238" s="136" customFormat="1" ht="19.5" customHeight="1" x14ac:dyDescent="0.2">
      <c r="A2" s="253"/>
      <c r="B2" s="253"/>
      <c r="C2" s="253"/>
      <c r="D2" s="253"/>
    </row>
    <row r="3" spans="1:238" s="136" customFormat="1" ht="19.5" hidden="1" customHeight="1" x14ac:dyDescent="0.2">
      <c r="A3" s="253"/>
      <c r="B3" s="253"/>
      <c r="C3" s="253"/>
      <c r="D3" s="253"/>
      <c r="E3" s="256"/>
      <c r="G3" s="256"/>
    </row>
    <row r="4" spans="1:238" s="136" customFormat="1" ht="19.5" hidden="1" customHeight="1" x14ac:dyDescent="0.2">
      <c r="A4" s="253"/>
      <c r="B4" s="253"/>
      <c r="C4" s="253"/>
      <c r="D4" s="253"/>
      <c r="E4" s="256"/>
      <c r="G4" s="256"/>
    </row>
    <row r="5" spans="1:238" s="136" customFormat="1" ht="19.5" customHeight="1" x14ac:dyDescent="0.2">
      <c r="D5" s="255"/>
    </row>
    <row r="6" spans="1:238" s="136" customFormat="1" ht="19.5" customHeight="1" x14ac:dyDescent="0.2">
      <c r="D6" s="255"/>
      <c r="E6" s="256"/>
      <c r="G6" s="257"/>
    </row>
    <row r="7" spans="1:238" ht="20.25" customHeight="1" x14ac:dyDescent="0.25">
      <c r="A7" s="1896" t="s">
        <v>216</v>
      </c>
      <c r="B7" s="1896"/>
      <c r="C7" s="1896"/>
      <c r="D7" s="1896"/>
      <c r="E7" s="1896"/>
      <c r="F7" s="1896"/>
      <c r="G7" s="1896"/>
    </row>
    <row r="8" spans="1:238" s="160" customFormat="1" x14ac:dyDescent="0.2">
      <c r="A8" s="1983"/>
      <c r="B8" s="1983"/>
      <c r="C8" s="1983"/>
      <c r="D8" s="1983"/>
      <c r="E8" s="1983"/>
      <c r="F8" s="1983"/>
      <c r="G8" s="1983"/>
    </row>
    <row r="9" spans="1:238" s="160" customFormat="1" ht="41.25" customHeight="1" x14ac:dyDescent="0.2">
      <c r="A9" s="1984" t="str">
        <f>' ССР (нов)'!A6:G6</f>
        <v xml:space="preserve">Реконструкция теплового ввода </v>
      </c>
      <c r="B9" s="1984"/>
      <c r="C9" s="1984"/>
      <c r="D9" s="1984"/>
      <c r="E9" s="1984"/>
      <c r="F9" s="1984"/>
      <c r="G9" s="1984"/>
    </row>
    <row r="10" spans="1:238" s="160" customFormat="1" ht="30.75" customHeight="1" x14ac:dyDescent="0.2">
      <c r="A10" s="1983" t="str">
        <f>' ССР (нов)'!A7:G7</f>
        <v>г. Москва , ул. Мневники д.4</v>
      </c>
      <c r="B10" s="1983"/>
      <c r="C10" s="1983"/>
      <c r="D10" s="1983"/>
      <c r="E10" s="1983"/>
      <c r="F10" s="1983"/>
      <c r="G10" s="1983"/>
    </row>
    <row r="11" spans="1:238" s="160" customFormat="1" ht="30.75" customHeight="1" x14ac:dyDescent="0.2">
      <c r="A11" s="1983" t="s">
        <v>642</v>
      </c>
      <c r="B11" s="1983"/>
      <c r="C11" s="1983"/>
      <c r="D11" s="1983"/>
      <c r="E11" s="1983"/>
      <c r="F11" s="1983"/>
      <c r="G11" s="1983"/>
    </row>
    <row r="12" spans="1:238" s="136" customFormat="1" ht="17.25" customHeight="1" thickBot="1" x14ac:dyDescent="0.25">
      <c r="A12" s="260"/>
      <c r="B12" s="317"/>
      <c r="C12" s="317"/>
      <c r="D12" s="317"/>
      <c r="E12" s="317"/>
      <c r="F12" s="317"/>
      <c r="G12" s="317"/>
    </row>
    <row r="13" spans="1:238" s="160" customFormat="1" ht="43.5" customHeight="1" thickBot="1" x14ac:dyDescent="0.25">
      <c r="A13" s="1985" t="s">
        <v>187</v>
      </c>
      <c r="B13" s="1986"/>
      <c r="C13" s="1986"/>
      <c r="D13" s="1986"/>
      <c r="E13" s="1986"/>
      <c r="F13" s="1986"/>
      <c r="G13" s="1987"/>
      <c r="H13" s="351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351"/>
      <c r="AI13" s="351"/>
      <c r="AJ13" s="351"/>
      <c r="AK13" s="351"/>
      <c r="AL13" s="351"/>
      <c r="AM13" s="351"/>
      <c r="AN13" s="351"/>
      <c r="AO13" s="351"/>
      <c r="AP13" s="351"/>
      <c r="AQ13" s="351"/>
      <c r="AR13" s="351"/>
      <c r="AS13" s="351"/>
      <c r="AT13" s="351"/>
      <c r="AU13" s="351"/>
      <c r="AV13" s="351"/>
      <c r="AW13" s="351"/>
      <c r="AX13" s="351"/>
      <c r="AY13" s="351"/>
      <c r="AZ13" s="351"/>
      <c r="BA13" s="351"/>
      <c r="BB13" s="351"/>
      <c r="BC13" s="351"/>
      <c r="BD13" s="351"/>
      <c r="BE13" s="351"/>
      <c r="BF13" s="351"/>
      <c r="BG13" s="351"/>
      <c r="BH13" s="351"/>
      <c r="BI13" s="351"/>
      <c r="BJ13" s="351"/>
      <c r="BK13" s="351"/>
      <c r="BL13" s="351"/>
      <c r="BM13" s="351"/>
      <c r="BN13" s="351"/>
      <c r="BO13" s="351"/>
      <c r="BP13" s="351"/>
      <c r="BQ13" s="351"/>
      <c r="BR13" s="351"/>
      <c r="BS13" s="351"/>
      <c r="BT13" s="351"/>
      <c r="BU13" s="351"/>
      <c r="BV13" s="351"/>
      <c r="BW13" s="351"/>
      <c r="BX13" s="351"/>
      <c r="BY13" s="351"/>
      <c r="BZ13" s="351"/>
      <c r="CA13" s="351"/>
      <c r="CB13" s="351"/>
      <c r="CC13" s="351"/>
      <c r="CD13" s="351"/>
      <c r="CE13" s="351"/>
      <c r="CF13" s="351"/>
      <c r="CG13" s="351"/>
      <c r="CH13" s="351"/>
      <c r="CI13" s="351"/>
      <c r="CJ13" s="351"/>
      <c r="CK13" s="351"/>
      <c r="CL13" s="351"/>
      <c r="CM13" s="351"/>
      <c r="CN13" s="351"/>
      <c r="CO13" s="351"/>
      <c r="CP13" s="351"/>
      <c r="CQ13" s="351"/>
      <c r="CR13" s="351"/>
      <c r="CS13" s="351"/>
      <c r="CT13" s="351"/>
      <c r="CU13" s="351"/>
      <c r="CV13" s="351"/>
      <c r="CW13" s="351"/>
      <c r="CX13" s="351"/>
      <c r="CY13" s="351"/>
      <c r="CZ13" s="351"/>
      <c r="DA13" s="351"/>
      <c r="DB13" s="351"/>
      <c r="DC13" s="351"/>
      <c r="DD13" s="351"/>
      <c r="DE13" s="351"/>
      <c r="DF13" s="351"/>
      <c r="DG13" s="351"/>
      <c r="DH13" s="351"/>
      <c r="DI13" s="351"/>
      <c r="DJ13" s="351"/>
      <c r="DK13" s="351"/>
      <c r="DL13" s="351"/>
      <c r="DM13" s="351"/>
      <c r="DN13" s="351"/>
      <c r="DO13" s="351"/>
      <c r="DP13" s="351"/>
      <c r="DQ13" s="351"/>
      <c r="DR13" s="351"/>
      <c r="DS13" s="351"/>
      <c r="DT13" s="351"/>
      <c r="DU13" s="351"/>
      <c r="DV13" s="351"/>
      <c r="DW13" s="351"/>
      <c r="DX13" s="351"/>
      <c r="DY13" s="351"/>
      <c r="DZ13" s="351"/>
      <c r="EA13" s="351"/>
      <c r="EB13" s="351"/>
      <c r="EC13" s="351"/>
      <c r="ED13" s="351"/>
      <c r="EE13" s="351"/>
      <c r="EF13" s="351"/>
      <c r="EG13" s="351"/>
      <c r="EH13" s="351"/>
      <c r="EI13" s="351"/>
      <c r="EJ13" s="351"/>
      <c r="EK13" s="351"/>
      <c r="EL13" s="351"/>
      <c r="EM13" s="351"/>
      <c r="EN13" s="351"/>
      <c r="EO13" s="351"/>
      <c r="EP13" s="351"/>
      <c r="EQ13" s="351"/>
      <c r="ER13" s="351"/>
      <c r="ES13" s="351"/>
      <c r="ET13" s="351"/>
      <c r="EU13" s="351"/>
      <c r="EV13" s="351"/>
      <c r="EW13" s="351"/>
      <c r="EX13" s="351"/>
      <c r="EY13" s="351"/>
      <c r="EZ13" s="351"/>
      <c r="FA13" s="351"/>
      <c r="FB13" s="351"/>
      <c r="FC13" s="351"/>
      <c r="FD13" s="351"/>
      <c r="FE13" s="351"/>
      <c r="FF13" s="351"/>
      <c r="FG13" s="351"/>
      <c r="FH13" s="351"/>
      <c r="FI13" s="351"/>
      <c r="FJ13" s="351"/>
      <c r="FK13" s="351"/>
      <c r="FL13" s="351"/>
      <c r="FM13" s="351"/>
      <c r="FN13" s="351"/>
      <c r="FO13" s="351"/>
      <c r="FP13" s="351"/>
      <c r="FQ13" s="351"/>
      <c r="FR13" s="351"/>
      <c r="FS13" s="351"/>
      <c r="FT13" s="351"/>
      <c r="FU13" s="351"/>
      <c r="FV13" s="351"/>
      <c r="FW13" s="351"/>
      <c r="FX13" s="351"/>
      <c r="FY13" s="351"/>
      <c r="FZ13" s="351"/>
      <c r="GA13" s="351"/>
      <c r="GB13" s="351"/>
      <c r="GC13" s="351"/>
      <c r="GD13" s="351"/>
      <c r="GE13" s="351"/>
      <c r="GF13" s="351"/>
      <c r="GG13" s="351"/>
      <c r="GH13" s="351"/>
      <c r="GI13" s="351"/>
      <c r="GJ13" s="351"/>
      <c r="GK13" s="351"/>
      <c r="GL13" s="351"/>
      <c r="GM13" s="351"/>
      <c r="GN13" s="351"/>
      <c r="GO13" s="351"/>
      <c r="GP13" s="351"/>
      <c r="GQ13" s="351"/>
      <c r="GR13" s="351"/>
      <c r="GS13" s="351"/>
      <c r="GT13" s="351"/>
      <c r="GU13" s="351"/>
      <c r="GV13" s="351"/>
      <c r="GW13" s="351"/>
      <c r="GX13" s="351"/>
      <c r="GY13" s="351"/>
      <c r="GZ13" s="351"/>
      <c r="HA13" s="351"/>
      <c r="HB13" s="351"/>
      <c r="HC13" s="351"/>
      <c r="HD13" s="351"/>
      <c r="HE13" s="351"/>
      <c r="HF13" s="351"/>
      <c r="HG13" s="351"/>
      <c r="HH13" s="351"/>
      <c r="HI13" s="351"/>
      <c r="HJ13" s="351"/>
      <c r="HK13" s="351"/>
      <c r="HL13" s="351"/>
      <c r="HM13" s="351"/>
      <c r="HN13" s="351"/>
      <c r="HO13" s="351"/>
      <c r="HP13" s="351"/>
      <c r="HQ13" s="351"/>
      <c r="HR13" s="351"/>
      <c r="HS13" s="351"/>
      <c r="HT13" s="351"/>
      <c r="HU13" s="351"/>
      <c r="HV13" s="351"/>
      <c r="HW13" s="351"/>
      <c r="HX13" s="351"/>
      <c r="HY13" s="351"/>
      <c r="HZ13" s="351"/>
      <c r="IA13" s="351"/>
      <c r="IB13" s="351"/>
      <c r="IC13" s="351"/>
      <c r="ID13" s="351"/>
    </row>
    <row r="14" spans="1:238" ht="48" thickBot="1" x14ac:dyDescent="0.3">
      <c r="A14" s="228" t="s">
        <v>104</v>
      </c>
      <c r="B14" s="150" t="s">
        <v>105</v>
      </c>
      <c r="C14" s="352" t="s">
        <v>9</v>
      </c>
      <c r="D14" s="150" t="s">
        <v>4</v>
      </c>
      <c r="E14" s="353" t="s">
        <v>106</v>
      </c>
      <c r="F14" s="201" t="s">
        <v>0</v>
      </c>
      <c r="G14" s="354" t="s">
        <v>6</v>
      </c>
    </row>
    <row r="15" spans="1:238" s="69" customFormat="1" ht="62.25" customHeight="1" thickBot="1" x14ac:dyDescent="0.25">
      <c r="A15" s="355">
        <v>1</v>
      </c>
      <c r="B15" s="151" t="s">
        <v>107</v>
      </c>
      <c r="C15" s="356">
        <f>Т.с.!H102+'вв-выводы'!E35+'ООС+ТР'!H74+'ТР '!H45+РДП!H26+'Перекладка '!H84</f>
        <v>576313.32999999996</v>
      </c>
      <c r="D15" s="357"/>
      <c r="E15" s="358"/>
      <c r="F15" s="359"/>
      <c r="G15" s="208"/>
    </row>
    <row r="16" spans="1:238" s="69" customFormat="1" ht="84" customHeight="1" thickBot="1" x14ac:dyDescent="0.25">
      <c r="A16" s="360"/>
      <c r="B16" s="1981" t="s">
        <v>108</v>
      </c>
      <c r="C16" s="1982"/>
      <c r="D16" s="86" t="s">
        <v>109</v>
      </c>
      <c r="E16" s="173">
        <v>1.55</v>
      </c>
      <c r="F16" s="173" t="str">
        <f>CONCATENATE(C15,"/",E16)</f>
        <v>576313,33/1,55</v>
      </c>
      <c r="G16" s="342">
        <f>ROUND(C15/E16,2)</f>
        <v>371815.05</v>
      </c>
    </row>
    <row r="17" spans="1:13" s="69" customFormat="1" ht="54.75" customHeight="1" thickBot="1" x14ac:dyDescent="0.25">
      <c r="A17" s="360"/>
      <c r="B17" s="1981" t="s">
        <v>110</v>
      </c>
      <c r="C17" s="1982"/>
      <c r="D17" s="86" t="s">
        <v>115</v>
      </c>
      <c r="E17" s="361">
        <f>H40</f>
        <v>8.5999999999999993E-2</v>
      </c>
      <c r="F17" s="105" t="str">
        <f>CONCATENATE(G16,"*",E17,"*",1.55)</f>
        <v>371815,05*0,086*1,55</v>
      </c>
      <c r="G17" s="343">
        <f>ROUND(G16*E17*1.55,2)</f>
        <v>49562.95</v>
      </c>
    </row>
    <row r="23" spans="1:13" s="1475" customFormat="1" ht="18.75" x14ac:dyDescent="0.3">
      <c r="A23" s="1473"/>
      <c r="B23" s="1474" t="s">
        <v>149</v>
      </c>
      <c r="I23" s="1476"/>
    </row>
    <row r="24" spans="1:13" s="1475" customFormat="1" x14ac:dyDescent="0.25">
      <c r="A24" s="1473"/>
      <c r="B24" s="1473" t="s">
        <v>150</v>
      </c>
      <c r="C24" s="1473"/>
      <c r="D24" s="1466" t="s">
        <v>658</v>
      </c>
      <c r="E24" s="60"/>
      <c r="F24" s="1979" t="s">
        <v>659</v>
      </c>
      <c r="G24" s="1980"/>
      <c r="H24" s="1487" t="s">
        <v>151</v>
      </c>
      <c r="I24" s="1477"/>
      <c r="J24" s="61"/>
      <c r="K24" s="61"/>
    </row>
    <row r="25" spans="1:13" s="1475" customFormat="1" x14ac:dyDescent="0.25">
      <c r="A25" s="1473"/>
      <c r="C25" s="58" t="s">
        <v>660</v>
      </c>
      <c r="D25" s="63">
        <v>5.0000000000000001E-3</v>
      </c>
      <c r="E25" s="64" t="s">
        <v>661</v>
      </c>
      <c r="F25" s="63">
        <v>0.2</v>
      </c>
      <c r="G25" s="64"/>
      <c r="H25" s="1479"/>
      <c r="I25" s="1478"/>
      <c r="J25" s="59"/>
      <c r="K25" s="59"/>
      <c r="M25" s="1480"/>
    </row>
    <row r="26" spans="1:13" s="1475" customFormat="1" x14ac:dyDescent="0.25">
      <c r="A26" s="1473"/>
      <c r="C26" s="58"/>
      <c r="D26" s="63"/>
      <c r="E26" s="64"/>
      <c r="F26" s="63"/>
      <c r="G26" s="64"/>
      <c r="H26" s="1479"/>
      <c r="I26" s="1478"/>
      <c r="J26" s="59"/>
      <c r="K26" s="59"/>
      <c r="M26" s="1480"/>
    </row>
    <row r="27" spans="1:13" s="1475" customFormat="1" x14ac:dyDescent="0.25">
      <c r="A27" s="1473"/>
      <c r="D27" s="63">
        <v>0.01</v>
      </c>
      <c r="E27" s="64"/>
      <c r="F27" s="63">
        <v>0.15</v>
      </c>
      <c r="G27" s="64"/>
      <c r="H27" s="64"/>
      <c r="I27" s="1478"/>
      <c r="J27" s="59"/>
      <c r="K27" s="59"/>
      <c r="M27" s="1479"/>
    </row>
    <row r="28" spans="1:13" s="1475" customFormat="1" x14ac:dyDescent="0.25">
      <c r="A28" s="1473"/>
      <c r="B28" s="62"/>
      <c r="C28" s="1481">
        <f>B28/1000000</f>
        <v>0</v>
      </c>
      <c r="D28" s="63"/>
      <c r="E28" s="64"/>
      <c r="F28" s="63"/>
      <c r="G28" s="64"/>
      <c r="H28" s="1482">
        <f>ROUND((F27-G29*(C28-D27)/E29),4)</f>
        <v>0.16</v>
      </c>
      <c r="I28" s="1478"/>
      <c r="J28" s="59"/>
      <c r="K28" s="59"/>
      <c r="M28" s="1479"/>
    </row>
    <row r="29" spans="1:13" s="1475" customFormat="1" x14ac:dyDescent="0.25">
      <c r="A29" s="1473"/>
      <c r="B29" s="65"/>
      <c r="C29" s="66"/>
      <c r="D29" s="63">
        <v>0.05</v>
      </c>
      <c r="E29" s="64">
        <f>D29-D27</f>
        <v>0.04</v>
      </c>
      <c r="F29" s="63">
        <v>0.11</v>
      </c>
      <c r="G29" s="64">
        <f>F27-F29</f>
        <v>3.9999999999999994E-2</v>
      </c>
      <c r="H29" s="1483"/>
      <c r="I29" s="1478"/>
      <c r="J29" s="59"/>
      <c r="K29" s="59"/>
      <c r="M29" s="1479"/>
    </row>
    <row r="30" spans="1:13" s="1475" customFormat="1" x14ac:dyDescent="0.25">
      <c r="A30" s="1473"/>
      <c r="B30" s="62"/>
      <c r="C30" s="1481">
        <f>B30/1000000</f>
        <v>0</v>
      </c>
      <c r="D30" s="63"/>
      <c r="E30" s="64"/>
      <c r="F30" s="63"/>
      <c r="G30" s="64"/>
      <c r="H30" s="1482">
        <f>ROUND((F29-G31*(C30-D29)/E31),4)</f>
        <v>0.13500000000000001</v>
      </c>
      <c r="I30" s="1478"/>
      <c r="J30" s="59"/>
      <c r="K30" s="59"/>
      <c r="M30" s="1479"/>
    </row>
    <row r="31" spans="1:13" s="1475" customFormat="1" x14ac:dyDescent="0.25">
      <c r="A31" s="1473"/>
      <c r="B31" s="65"/>
      <c r="C31" s="66"/>
      <c r="D31" s="63">
        <v>0.1</v>
      </c>
      <c r="E31" s="64">
        <f>D31-D29</f>
        <v>0.05</v>
      </c>
      <c r="F31" s="63">
        <v>8.5000000000000006E-2</v>
      </c>
      <c r="G31" s="64">
        <f>F29-F31</f>
        <v>2.4999999999999994E-2</v>
      </c>
      <c r="H31" s="1483"/>
      <c r="I31" s="1478"/>
      <c r="J31" s="59"/>
      <c r="K31" s="59"/>
      <c r="M31" s="1479"/>
    </row>
    <row r="32" spans="1:13" s="1475" customFormat="1" ht="15" customHeight="1" x14ac:dyDescent="0.25">
      <c r="A32" s="1473"/>
      <c r="B32" s="62">
        <f>G12</f>
        <v>0</v>
      </c>
      <c r="C32" s="1481">
        <f>B32/1000000</f>
        <v>0</v>
      </c>
      <c r="D32" s="63"/>
      <c r="E32" s="64"/>
      <c r="F32" s="63"/>
      <c r="G32" s="64"/>
      <c r="H32" s="1482">
        <f>ROUND((F31-G33*(C32-D31)/E33),4)</f>
        <v>0.105</v>
      </c>
      <c r="I32" s="1478"/>
      <c r="J32" s="59"/>
      <c r="K32" s="59"/>
      <c r="M32" s="1479"/>
    </row>
    <row r="33" spans="1:13" s="1475" customFormat="1" x14ac:dyDescent="0.25">
      <c r="A33" s="1473"/>
      <c r="B33" s="65"/>
      <c r="C33" s="66"/>
      <c r="D33" s="63">
        <v>0.15</v>
      </c>
      <c r="E33" s="64">
        <f>D33-D31</f>
        <v>4.9999999999999989E-2</v>
      </c>
      <c r="F33" s="63">
        <v>7.4999999999999997E-2</v>
      </c>
      <c r="G33" s="64">
        <f>F31-F33</f>
        <v>1.0000000000000009E-2</v>
      </c>
      <c r="H33" s="1483"/>
      <c r="I33" s="1478"/>
      <c r="J33" s="59"/>
      <c r="K33" s="59"/>
      <c r="M33" s="1479"/>
    </row>
    <row r="34" spans="1:13" s="1475" customFormat="1" x14ac:dyDescent="0.25">
      <c r="A34" s="1473"/>
      <c r="B34" s="62"/>
      <c r="C34" s="1481">
        <f>B34/1000000</f>
        <v>0</v>
      </c>
      <c r="D34" s="63"/>
      <c r="E34" s="64"/>
      <c r="F34" s="63"/>
      <c r="G34" s="64"/>
      <c r="H34" s="1482">
        <f>ROUND((F33-G35*(C34-D33)/E35),4)</f>
        <v>9.9000000000000005E-2</v>
      </c>
      <c r="I34" s="1478"/>
      <c r="J34" s="59"/>
      <c r="K34" s="59"/>
      <c r="M34" s="1479"/>
    </row>
    <row r="35" spans="1:13" s="1475" customFormat="1" x14ac:dyDescent="0.25">
      <c r="A35" s="1473"/>
      <c r="B35" s="65"/>
      <c r="C35" s="66"/>
      <c r="D35" s="63">
        <v>0.2</v>
      </c>
      <c r="E35" s="64">
        <f>D35-D33</f>
        <v>5.0000000000000017E-2</v>
      </c>
      <c r="F35" s="63">
        <v>6.7000000000000004E-2</v>
      </c>
      <c r="G35" s="64">
        <f>F33-F35</f>
        <v>7.9999999999999932E-3</v>
      </c>
      <c r="H35" s="1483"/>
      <c r="I35" s="1478"/>
      <c r="J35" s="59"/>
      <c r="K35" s="59"/>
      <c r="M35" s="1479"/>
    </row>
    <row r="36" spans="1:13" s="1475" customFormat="1" x14ac:dyDescent="0.25">
      <c r="A36" s="1473"/>
      <c r="B36" s="62"/>
      <c r="C36" s="1481">
        <f>B36/1000000</f>
        <v>0</v>
      </c>
      <c r="D36" s="63"/>
      <c r="E36" s="64"/>
      <c r="F36" s="63"/>
      <c r="G36" s="64"/>
      <c r="H36" s="1483">
        <f>ROUND((F35-G37*(C36-D35)/E37),4)</f>
        <v>0.10299999999999999</v>
      </c>
      <c r="I36" s="1478"/>
      <c r="J36" s="59"/>
      <c r="K36" s="59"/>
      <c r="M36" s="1479"/>
    </row>
    <row r="37" spans="1:13" s="1475" customFormat="1" x14ac:dyDescent="0.25">
      <c r="A37" s="1473"/>
      <c r="B37" s="58"/>
      <c r="D37" s="63">
        <v>0.25</v>
      </c>
      <c r="E37" s="64">
        <f>D37-D35</f>
        <v>4.9999999999999989E-2</v>
      </c>
      <c r="F37" s="63">
        <v>5.8000000000000003E-2</v>
      </c>
      <c r="G37" s="64">
        <f>F35-F37</f>
        <v>9.0000000000000011E-3</v>
      </c>
      <c r="H37" s="1483"/>
      <c r="I37" s="1478"/>
      <c r="J37" s="59"/>
      <c r="K37" s="59"/>
      <c r="M37" s="1479"/>
    </row>
    <row r="38" spans="1:13" s="1475" customFormat="1" x14ac:dyDescent="0.25">
      <c r="A38" s="1473"/>
      <c r="B38" s="62"/>
      <c r="C38" s="1481">
        <f>B38/1000000</f>
        <v>0</v>
      </c>
      <c r="D38" s="63"/>
      <c r="E38" s="64"/>
      <c r="F38" s="63"/>
      <c r="G38" s="64"/>
      <c r="H38" s="1482">
        <f>ROUND((F37-G39*(C38-D37)/E39),4)</f>
        <v>6.8000000000000005E-2</v>
      </c>
      <c r="I38" s="1478"/>
      <c r="J38" s="59"/>
      <c r="K38" s="59"/>
      <c r="M38" s="1479"/>
    </row>
    <row r="39" spans="1:13" s="1480" customFormat="1" x14ac:dyDescent="0.25">
      <c r="A39" s="1484"/>
      <c r="B39" s="59"/>
      <c r="D39" s="63">
        <v>0.3</v>
      </c>
      <c r="E39" s="64">
        <f>D39-D37</f>
        <v>4.9999999999999989E-2</v>
      </c>
      <c r="F39" s="63">
        <v>5.6000000000000001E-2</v>
      </c>
      <c r="G39" s="64">
        <f>F37-F39</f>
        <v>2.0000000000000018E-3</v>
      </c>
      <c r="H39" s="1483"/>
      <c r="I39" s="1478"/>
      <c r="J39" s="59"/>
      <c r="K39" s="59"/>
      <c r="M39" s="1479"/>
    </row>
    <row r="40" spans="1:13" s="1475" customFormat="1" x14ac:dyDescent="0.25">
      <c r="A40" s="1473"/>
      <c r="B40" s="62">
        <f>G16</f>
        <v>371815.05</v>
      </c>
      <c r="C40" s="1481"/>
      <c r="D40" s="63"/>
      <c r="E40" s="64"/>
      <c r="F40" s="63"/>
      <c r="G40" s="64"/>
      <c r="H40" s="1482">
        <f>ROUND((F39-G41*(C40-D39)/E41),4)</f>
        <v>8.5999999999999993E-2</v>
      </c>
      <c r="I40" s="1478"/>
      <c r="J40" s="59"/>
      <c r="K40" s="59"/>
      <c r="M40" s="1479"/>
    </row>
    <row r="41" spans="1:13" s="1475" customFormat="1" x14ac:dyDescent="0.25">
      <c r="A41" s="1473"/>
      <c r="B41" s="58"/>
      <c r="D41" s="63">
        <v>0.4</v>
      </c>
      <c r="E41" s="64">
        <f>D41-D39</f>
        <v>0.10000000000000003</v>
      </c>
      <c r="F41" s="63">
        <v>4.5999999999999999E-2</v>
      </c>
      <c r="G41" s="64">
        <f>F39-F41</f>
        <v>1.0000000000000002E-2</v>
      </c>
      <c r="H41" s="1483"/>
      <c r="I41" s="1478"/>
      <c r="J41" s="59"/>
      <c r="K41" s="59"/>
      <c r="M41" s="1479"/>
    </row>
    <row r="42" spans="1:13" s="1475" customFormat="1" x14ac:dyDescent="0.25">
      <c r="A42" s="1473"/>
      <c r="B42" s="62"/>
      <c r="C42" s="1481">
        <f>B42/1000000</f>
        <v>0</v>
      </c>
      <c r="D42" s="63"/>
      <c r="E42" s="64"/>
      <c r="F42" s="63"/>
      <c r="G42" s="64"/>
      <c r="H42" s="1482">
        <f>ROUND((F41-G43*(C42-D41)/E43),4)</f>
        <v>7.3999999999999996E-2</v>
      </c>
      <c r="I42" s="1478"/>
      <c r="J42" s="59"/>
      <c r="K42" s="59"/>
      <c r="M42" s="1479"/>
    </row>
    <row r="43" spans="1:13" s="1475" customFormat="1" x14ac:dyDescent="0.25">
      <c r="A43" s="1473"/>
      <c r="B43" s="58"/>
      <c r="D43" s="63">
        <v>0.5</v>
      </c>
      <c r="E43" s="64">
        <f>D43-D41</f>
        <v>9.9999999999999978E-2</v>
      </c>
      <c r="F43" s="63">
        <v>3.9E-2</v>
      </c>
      <c r="G43" s="64">
        <f>F41-F43</f>
        <v>6.9999999999999993E-3</v>
      </c>
      <c r="H43" s="1483"/>
      <c r="I43" s="1478"/>
      <c r="J43" s="59"/>
      <c r="K43" s="59"/>
      <c r="M43" s="1479"/>
    </row>
    <row r="44" spans="1:13" s="1475" customFormat="1" x14ac:dyDescent="0.25">
      <c r="A44" s="1473"/>
      <c r="B44" s="62"/>
      <c r="C44" s="1481">
        <f>B44/1000000</f>
        <v>0</v>
      </c>
      <c r="D44" s="63"/>
      <c r="E44" s="64"/>
      <c r="F44" s="63"/>
      <c r="G44" s="64"/>
      <c r="H44" s="1482">
        <f>ROUND((F43-G45*(C44-D43)/E45),4)</f>
        <v>5.8999999999999997E-2</v>
      </c>
      <c r="I44" s="1478"/>
      <c r="J44" s="59"/>
      <c r="K44" s="59"/>
      <c r="M44" s="1479"/>
    </row>
    <row r="45" spans="1:13" s="1475" customFormat="1" x14ac:dyDescent="0.25">
      <c r="A45" s="1473"/>
      <c r="B45" s="58"/>
      <c r="D45" s="63">
        <v>0.6</v>
      </c>
      <c r="E45" s="64">
        <f>D45-D43</f>
        <v>9.9999999999999978E-2</v>
      </c>
      <c r="F45" s="63">
        <v>3.5000000000000003E-2</v>
      </c>
      <c r="G45" s="64">
        <f>F43-F45</f>
        <v>3.9999999999999966E-3</v>
      </c>
      <c r="H45" s="1483"/>
      <c r="I45" s="1478"/>
      <c r="J45" s="59"/>
      <c r="K45" s="59"/>
      <c r="M45" s="1479"/>
    </row>
    <row r="46" spans="1:13" s="1475" customFormat="1" x14ac:dyDescent="0.25">
      <c r="A46" s="1473"/>
      <c r="B46" s="62"/>
      <c r="C46" s="1481">
        <f>B46/1000000</f>
        <v>0</v>
      </c>
      <c r="D46" s="63"/>
      <c r="E46" s="64"/>
      <c r="F46" s="63"/>
      <c r="G46" s="64"/>
      <c r="H46" s="1482">
        <f>ROUND((F45-G47*(C46-D45)/E47),4)</f>
        <v>5.8999999999999997E-2</v>
      </c>
      <c r="I46" s="1478"/>
      <c r="J46" s="59"/>
      <c r="K46" s="59"/>
      <c r="M46" s="1479"/>
    </row>
    <row r="47" spans="1:13" s="1475" customFormat="1" x14ac:dyDescent="0.25">
      <c r="A47" s="1473"/>
      <c r="B47" s="58"/>
      <c r="D47" s="63">
        <v>0.7</v>
      </c>
      <c r="E47" s="64">
        <f>D47-D45</f>
        <v>9.9999999999999978E-2</v>
      </c>
      <c r="F47" s="63">
        <v>3.1E-2</v>
      </c>
      <c r="G47" s="64">
        <f>F45-F47</f>
        <v>4.0000000000000036E-3</v>
      </c>
      <c r="H47" s="1483"/>
      <c r="I47" s="1478"/>
      <c r="J47" s="59"/>
      <c r="K47" s="59"/>
      <c r="M47" s="1479"/>
    </row>
    <row r="48" spans="1:13" s="1475" customFormat="1" x14ac:dyDescent="0.25">
      <c r="A48" s="1473"/>
      <c r="B48" s="62"/>
      <c r="C48" s="1481">
        <f>B48/1000000</f>
        <v>0</v>
      </c>
      <c r="D48" s="63"/>
      <c r="E48" s="64"/>
      <c r="F48" s="63"/>
      <c r="G48" s="64"/>
      <c r="H48" s="1482">
        <f>ROUND((F47-G49*(C48-D47)/E49),4)</f>
        <v>4.4999999999999998E-2</v>
      </c>
      <c r="I48" s="1478"/>
      <c r="J48" s="59"/>
      <c r="K48" s="59"/>
      <c r="M48" s="1479"/>
    </row>
    <row r="49" spans="1:13" s="1475" customFormat="1" x14ac:dyDescent="0.25">
      <c r="A49" s="1473"/>
      <c r="B49" s="58"/>
      <c r="D49" s="63">
        <v>0.8</v>
      </c>
      <c r="E49" s="64">
        <f>D49-D47</f>
        <v>0.10000000000000009</v>
      </c>
      <c r="F49" s="63">
        <v>2.9000000000000001E-2</v>
      </c>
      <c r="G49" s="64">
        <f>F47-F49</f>
        <v>1.9999999999999983E-3</v>
      </c>
      <c r="H49" s="1483"/>
      <c r="I49" s="1478"/>
      <c r="J49" s="59"/>
      <c r="K49" s="59"/>
      <c r="M49" s="1479"/>
    </row>
    <row r="50" spans="1:13" s="1475" customFormat="1" x14ac:dyDescent="0.25">
      <c r="A50" s="1473"/>
      <c r="B50" s="62"/>
      <c r="C50" s="1481">
        <f>B50/1000000</f>
        <v>0</v>
      </c>
      <c r="D50" s="63"/>
      <c r="E50" s="64"/>
      <c r="F50" s="63"/>
      <c r="G50" s="64"/>
      <c r="H50" s="1482">
        <f>ROUND((F49-G51*(C50-D49)/E51),4)</f>
        <v>5.2999999999999999E-2</v>
      </c>
      <c r="I50" s="1478"/>
      <c r="J50" s="59"/>
      <c r="K50" s="59"/>
      <c r="M50" s="1479"/>
    </row>
    <row r="51" spans="1:13" s="1475" customFormat="1" x14ac:dyDescent="0.25">
      <c r="A51" s="1473"/>
      <c r="B51" s="58"/>
      <c r="D51" s="63">
        <v>0.9</v>
      </c>
      <c r="E51" s="64">
        <f>D51-D49</f>
        <v>9.9999999999999978E-2</v>
      </c>
      <c r="F51" s="63">
        <v>2.5999999999999999E-2</v>
      </c>
      <c r="G51" s="64">
        <f>F49-F51</f>
        <v>3.0000000000000027E-3</v>
      </c>
      <c r="H51" s="1483"/>
      <c r="I51" s="1478"/>
      <c r="J51" s="59"/>
      <c r="K51" s="59"/>
      <c r="M51" s="1479"/>
    </row>
    <row r="52" spans="1:13" s="1475" customFormat="1" x14ac:dyDescent="0.25">
      <c r="A52" s="1473"/>
      <c r="B52" s="62"/>
      <c r="C52" s="1481">
        <f>B52/1000000</f>
        <v>0</v>
      </c>
      <c r="D52" s="63"/>
      <c r="E52" s="64"/>
      <c r="F52" s="63"/>
      <c r="G52" s="64"/>
      <c r="H52" s="1482">
        <f>ROUND((F51-G53*(C52-D51)/E53),4)</f>
        <v>4.3999999999999997E-2</v>
      </c>
      <c r="I52" s="1478"/>
      <c r="J52" s="59"/>
      <c r="K52" s="59"/>
      <c r="M52" s="1479"/>
    </row>
    <row r="53" spans="1:13" s="1475" customFormat="1" x14ac:dyDescent="0.25">
      <c r="A53" s="1473"/>
      <c r="B53" s="58"/>
      <c r="D53" s="63">
        <v>1</v>
      </c>
      <c r="E53" s="64">
        <f>D53-D51</f>
        <v>9.9999999999999978E-2</v>
      </c>
      <c r="F53" s="63">
        <v>2.4E-2</v>
      </c>
      <c r="G53" s="64">
        <f>F51-F53</f>
        <v>1.9999999999999983E-3</v>
      </c>
      <c r="H53" s="1483"/>
      <c r="I53" s="1478"/>
      <c r="J53" s="59"/>
      <c r="K53" s="59"/>
      <c r="M53" s="1479"/>
    </row>
    <row r="54" spans="1:13" s="1475" customFormat="1" x14ac:dyDescent="0.25">
      <c r="A54" s="1473"/>
      <c r="B54" s="62"/>
      <c r="C54" s="1481">
        <f>B54/1000000</f>
        <v>0</v>
      </c>
      <c r="D54" s="63"/>
      <c r="E54" s="64"/>
      <c r="F54" s="63"/>
      <c r="G54" s="64"/>
      <c r="H54" s="1482">
        <f>ROUND((F53-G55*(C54-D53)/E55),4)</f>
        <v>3.4000000000000002E-2</v>
      </c>
      <c r="I54" s="1478"/>
      <c r="J54" s="59"/>
      <c r="K54" s="59"/>
      <c r="M54" s="1479"/>
    </row>
    <row r="55" spans="1:13" s="1475" customFormat="1" x14ac:dyDescent="0.25">
      <c r="A55" s="1473"/>
      <c r="B55" s="58"/>
      <c r="D55" s="63">
        <v>1.1000000000000001</v>
      </c>
      <c r="E55" s="64">
        <f>D55-D53</f>
        <v>0.10000000000000009</v>
      </c>
      <c r="F55" s="63">
        <v>2.3E-2</v>
      </c>
      <c r="G55" s="64">
        <f>F53-F55</f>
        <v>1.0000000000000009E-3</v>
      </c>
      <c r="H55" s="1483"/>
      <c r="I55" s="1478"/>
      <c r="J55" s="59"/>
      <c r="K55" s="59"/>
      <c r="M55" s="1479"/>
    </row>
    <row r="56" spans="1:13" s="1475" customFormat="1" x14ac:dyDescent="0.25">
      <c r="A56" s="1473"/>
      <c r="B56" s="62"/>
      <c r="C56" s="1481">
        <f>B56/1000000</f>
        <v>0</v>
      </c>
      <c r="D56" s="63"/>
      <c r="E56" s="64"/>
      <c r="F56" s="63"/>
      <c r="G56" s="64"/>
      <c r="H56" s="1482">
        <f>ROUND((F55-G57*(C56-D55)/E57),4)</f>
        <v>3.4000000000000002E-2</v>
      </c>
      <c r="I56" s="1478"/>
      <c r="J56" s="59"/>
      <c r="K56" s="59"/>
      <c r="M56" s="1479"/>
    </row>
    <row r="57" spans="1:13" s="1475" customFormat="1" x14ac:dyDescent="0.25">
      <c r="A57" s="1473"/>
      <c r="B57" s="58"/>
      <c r="D57" s="63">
        <v>1.2</v>
      </c>
      <c r="E57" s="64">
        <f>D57-D55</f>
        <v>9.9999999999999867E-2</v>
      </c>
      <c r="F57" s="63">
        <v>2.1999999999999999E-2</v>
      </c>
      <c r="G57" s="64">
        <f>F55-F57</f>
        <v>1.0000000000000009E-3</v>
      </c>
      <c r="H57" s="1483"/>
      <c r="I57" s="1478"/>
      <c r="J57" s="59"/>
      <c r="K57" s="59"/>
      <c r="M57" s="1479"/>
    </row>
    <row r="58" spans="1:13" s="1475" customFormat="1" x14ac:dyDescent="0.25">
      <c r="A58" s="1473"/>
      <c r="B58" s="62"/>
      <c r="C58" s="1481">
        <f>B58/1000000</f>
        <v>0</v>
      </c>
      <c r="D58" s="63"/>
      <c r="E58" s="64"/>
      <c r="F58" s="63"/>
      <c r="G58" s="64"/>
      <c r="H58" s="1482">
        <f>ROUND((F57-G59*(C58-D57)/E59),4)</f>
        <v>2.8000000000000001E-2</v>
      </c>
      <c r="I58" s="1478"/>
      <c r="J58" s="59"/>
      <c r="K58" s="59"/>
      <c r="M58" s="1479"/>
    </row>
    <row r="59" spans="1:13" s="1475" customFormat="1" x14ac:dyDescent="0.25">
      <c r="A59" s="1473"/>
      <c r="B59" s="58"/>
      <c r="D59" s="63">
        <v>1.3</v>
      </c>
      <c r="E59" s="1485">
        <f>D59-D57</f>
        <v>0.10000000000000009</v>
      </c>
      <c r="F59" s="63">
        <v>2.1499999999999998E-2</v>
      </c>
      <c r="G59" s="64">
        <f>F57-F59</f>
        <v>5.0000000000000044E-4</v>
      </c>
      <c r="H59" s="1483"/>
      <c r="I59" s="1478"/>
      <c r="J59" s="59"/>
      <c r="K59" s="59"/>
      <c r="M59" s="1479"/>
    </row>
    <row r="60" spans="1:13" s="1475" customFormat="1" x14ac:dyDescent="0.25">
      <c r="A60" s="1473"/>
      <c r="B60" s="62"/>
      <c r="C60" s="1481">
        <f>B60/1000000</f>
        <v>0</v>
      </c>
      <c r="D60" s="63"/>
      <c r="E60" s="1485"/>
      <c r="F60" s="63"/>
      <c r="G60" s="64"/>
      <c r="H60" s="1483">
        <f>ROUND((F59-G61*(C60-D59)/E61),3)</f>
        <v>2.4E-2</v>
      </c>
      <c r="I60" s="1478"/>
      <c r="J60" s="59"/>
      <c r="K60" s="59"/>
      <c r="M60" s="1479"/>
    </row>
    <row r="61" spans="1:13" s="1475" customFormat="1" x14ac:dyDescent="0.25">
      <c r="A61" s="1473"/>
      <c r="B61" s="58"/>
      <c r="D61" s="63">
        <v>1.4</v>
      </c>
      <c r="E61" s="1485">
        <f>D61-D59</f>
        <v>9.9999999999999867E-2</v>
      </c>
      <c r="F61" s="1486">
        <v>2.1299999999999999E-2</v>
      </c>
      <c r="G61" s="64">
        <f>F59-F61</f>
        <v>1.9999999999999879E-4</v>
      </c>
      <c r="H61" s="1483"/>
      <c r="I61" s="1478"/>
      <c r="J61" s="59"/>
      <c r="K61" s="59"/>
      <c r="M61" s="1479"/>
    </row>
    <row r="62" spans="1:13" s="1475" customFormat="1" x14ac:dyDescent="0.25">
      <c r="A62" s="1473"/>
      <c r="B62" s="62"/>
      <c r="C62" s="1481">
        <f>B62/1000000</f>
        <v>0</v>
      </c>
      <c r="D62" s="63"/>
      <c r="E62" s="1485"/>
      <c r="F62" s="63"/>
      <c r="G62" s="64"/>
      <c r="H62" s="1483">
        <f>ROUND((F61-G63*(C62-D61)/E63),3)</f>
        <v>2.5999999999999999E-2</v>
      </c>
      <c r="I62" s="1478"/>
      <c r="J62" s="59"/>
      <c r="K62" s="59"/>
      <c r="M62" s="1479"/>
    </row>
    <row r="63" spans="1:13" s="1475" customFormat="1" x14ac:dyDescent="0.25">
      <c r="A63" s="1473"/>
      <c r="B63" s="58"/>
      <c r="D63" s="63">
        <v>1.5</v>
      </c>
      <c r="E63" s="1485">
        <f>D63-D61</f>
        <v>0.10000000000000009</v>
      </c>
      <c r="F63" s="63">
        <v>2.1000000000000001E-2</v>
      </c>
      <c r="G63" s="64">
        <f>F61-F63</f>
        <v>2.9999999999999818E-4</v>
      </c>
      <c r="H63" s="1483"/>
      <c r="I63" s="1478"/>
      <c r="J63" s="59"/>
      <c r="K63" s="59"/>
      <c r="M63" s="1479"/>
    </row>
    <row r="64" spans="1:13" s="1475" customFormat="1" x14ac:dyDescent="0.25">
      <c r="A64" s="1473"/>
      <c r="B64" s="62"/>
      <c r="C64" s="1481">
        <f>B64/1000000</f>
        <v>0</v>
      </c>
      <c r="D64" s="63"/>
      <c r="E64" s="1485"/>
      <c r="F64" s="63"/>
      <c r="G64" s="64"/>
      <c r="H64" s="1483">
        <f>ROUND((F63-G65*(C64-D63)/E65),3)</f>
        <v>2.7E-2</v>
      </c>
      <c r="I64" s="1478"/>
      <c r="J64" s="59"/>
      <c r="K64" s="59"/>
      <c r="M64" s="1479"/>
    </row>
    <row r="65" spans="1:13" s="1475" customFormat="1" x14ac:dyDescent="0.25">
      <c r="A65" s="1473"/>
      <c r="B65" s="58"/>
      <c r="D65" s="63">
        <v>2</v>
      </c>
      <c r="E65" s="1485">
        <f t="shared" ref="E65:E81" si="0">D65-D63</f>
        <v>0.5</v>
      </c>
      <c r="F65" s="63">
        <v>1.9E-2</v>
      </c>
      <c r="G65" s="64">
        <f>F63-F65</f>
        <v>2.0000000000000018E-3</v>
      </c>
      <c r="H65" s="1483"/>
      <c r="I65" s="1478"/>
      <c r="J65" s="59"/>
      <c r="K65" s="59"/>
      <c r="M65" s="1479"/>
    </row>
    <row r="66" spans="1:13" s="1475" customFormat="1" x14ac:dyDescent="0.25">
      <c r="A66" s="1473"/>
      <c r="B66" s="62"/>
      <c r="C66" s="1481">
        <f>B66/1000000</f>
        <v>0</v>
      </c>
      <c r="D66" s="63"/>
      <c r="E66" s="1485"/>
      <c r="F66" s="63"/>
      <c r="G66" s="64"/>
      <c r="H66" s="1483">
        <f>ROUND((F65-G67*(C66-D65)/E67),3)</f>
        <v>1.9E-2</v>
      </c>
      <c r="I66" s="1478"/>
      <c r="J66" s="59"/>
      <c r="K66" s="59"/>
      <c r="M66" s="1479"/>
    </row>
    <row r="67" spans="1:13" s="1475" customFormat="1" x14ac:dyDescent="0.25">
      <c r="A67" s="1473"/>
      <c r="B67" s="58"/>
      <c r="D67" s="63">
        <v>3</v>
      </c>
      <c r="E67" s="1485">
        <f t="shared" si="0"/>
        <v>1</v>
      </c>
      <c r="F67" s="63">
        <v>1.9E-2</v>
      </c>
      <c r="G67" s="64">
        <f>F65-F67</f>
        <v>0</v>
      </c>
      <c r="H67" s="1483"/>
      <c r="I67" s="1478"/>
      <c r="J67" s="59"/>
      <c r="K67" s="59"/>
      <c r="M67" s="1479"/>
    </row>
    <row r="68" spans="1:13" s="1475" customFormat="1" x14ac:dyDescent="0.25">
      <c r="A68" s="1473"/>
      <c r="B68" s="62"/>
      <c r="C68" s="1481">
        <f>B68/1000000</f>
        <v>0</v>
      </c>
      <c r="D68" s="63"/>
      <c r="E68" s="1485"/>
      <c r="F68" s="63"/>
      <c r="G68" s="64"/>
      <c r="H68" s="1483">
        <f>ROUND((F67-G69*(C68-D67)/E69),3)</f>
        <v>0.04</v>
      </c>
      <c r="I68" s="1478"/>
      <c r="J68" s="59"/>
      <c r="K68" s="59"/>
      <c r="M68" s="1479"/>
    </row>
    <row r="69" spans="1:13" s="1475" customFormat="1" x14ac:dyDescent="0.25">
      <c r="A69" s="1473"/>
      <c r="B69" s="58"/>
      <c r="D69" s="63">
        <v>4</v>
      </c>
      <c r="E69" s="1485">
        <f t="shared" si="0"/>
        <v>1</v>
      </c>
      <c r="F69" s="63">
        <v>1.2E-2</v>
      </c>
      <c r="G69" s="64">
        <f>F67-F69</f>
        <v>6.9999999999999993E-3</v>
      </c>
      <c r="H69" s="1483"/>
      <c r="I69" s="1478"/>
      <c r="J69" s="59"/>
      <c r="K69" s="59"/>
      <c r="M69" s="1479"/>
    </row>
    <row r="70" spans="1:13" s="1475" customFormat="1" x14ac:dyDescent="0.25">
      <c r="A70" s="1473"/>
      <c r="B70" s="62"/>
      <c r="C70" s="1481">
        <f>B70/1000000</f>
        <v>0</v>
      </c>
      <c r="D70" s="63"/>
      <c r="E70" s="1485"/>
      <c r="F70" s="63"/>
      <c r="G70" s="64"/>
      <c r="H70" s="1483">
        <f>ROUND((F69-G71*(C70-D69)/E71),3)</f>
        <v>1.6E-2</v>
      </c>
      <c r="I70" s="1478"/>
      <c r="J70" s="59"/>
      <c r="K70" s="59"/>
      <c r="M70" s="1479"/>
    </row>
    <row r="71" spans="1:13" s="1475" customFormat="1" x14ac:dyDescent="0.25">
      <c r="A71" s="1473"/>
      <c r="B71" s="58"/>
      <c r="D71" s="63">
        <v>5</v>
      </c>
      <c r="E71" s="1485">
        <f t="shared" si="0"/>
        <v>1</v>
      </c>
      <c r="F71" s="63">
        <v>1.0999999999999999E-2</v>
      </c>
      <c r="G71" s="64">
        <f>F69-F71</f>
        <v>1.0000000000000009E-3</v>
      </c>
      <c r="H71" s="1483"/>
      <c r="I71" s="1478"/>
      <c r="J71" s="59"/>
      <c r="K71" s="59"/>
      <c r="M71" s="1479"/>
    </row>
    <row r="72" spans="1:13" s="1475" customFormat="1" x14ac:dyDescent="0.25">
      <c r="A72" s="1473"/>
      <c r="B72" s="62"/>
      <c r="C72" s="1481">
        <f>B72/1000000</f>
        <v>0</v>
      </c>
      <c r="D72" s="63"/>
      <c r="E72" s="1485"/>
      <c r="F72" s="63"/>
      <c r="G72" s="64"/>
      <c r="H72" s="1483">
        <f>ROUND((F71-G73*(C72-D71)/E73),3)</f>
        <v>1.4E-2</v>
      </c>
      <c r="I72" s="1478"/>
      <c r="J72" s="59"/>
      <c r="K72" s="59"/>
      <c r="M72" s="1479"/>
    </row>
    <row r="73" spans="1:13" s="1475" customFormat="1" x14ac:dyDescent="0.25">
      <c r="A73" s="1473"/>
      <c r="B73" s="58"/>
      <c r="D73" s="63">
        <v>6</v>
      </c>
      <c r="E73" s="1485">
        <f t="shared" si="0"/>
        <v>1</v>
      </c>
      <c r="F73" s="63">
        <v>1.0500000000000001E-2</v>
      </c>
      <c r="G73" s="64">
        <f>F71-F73</f>
        <v>4.9999999999999871E-4</v>
      </c>
      <c r="H73" s="1483"/>
      <c r="I73" s="1478"/>
      <c r="J73" s="59"/>
      <c r="K73" s="59"/>
      <c r="M73" s="1479"/>
    </row>
    <row r="74" spans="1:13" s="1475" customFormat="1" x14ac:dyDescent="0.25">
      <c r="A74" s="1473"/>
      <c r="B74" s="62"/>
      <c r="C74" s="1481">
        <f>B74/1000000</f>
        <v>0</v>
      </c>
      <c r="D74" s="63"/>
      <c r="E74" s="1485"/>
      <c r="F74" s="63"/>
      <c r="G74" s="64"/>
      <c r="H74" s="1483">
        <f>ROUND((F73-G75*(C74-D73)/E75),3)</f>
        <v>1.4E-2</v>
      </c>
      <c r="I74" s="1478"/>
      <c r="J74" s="59"/>
      <c r="K74" s="59"/>
      <c r="M74" s="1479"/>
    </row>
    <row r="75" spans="1:13" s="1475" customFormat="1" x14ac:dyDescent="0.25">
      <c r="A75" s="1473"/>
      <c r="B75" s="58"/>
      <c r="D75" s="63">
        <v>7</v>
      </c>
      <c r="E75" s="1485">
        <f t="shared" si="0"/>
        <v>1</v>
      </c>
      <c r="F75" s="63">
        <v>0.01</v>
      </c>
      <c r="G75" s="64">
        <f>F73-F75</f>
        <v>5.0000000000000044E-4</v>
      </c>
      <c r="H75" s="1483"/>
      <c r="I75" s="1478"/>
      <c r="J75" s="59"/>
      <c r="K75" s="59"/>
      <c r="M75" s="1479"/>
    </row>
    <row r="76" spans="1:13" s="1475" customFormat="1" x14ac:dyDescent="0.25">
      <c r="A76" s="1473"/>
      <c r="B76" s="62"/>
      <c r="C76" s="1481">
        <f>B76/1000000</f>
        <v>0</v>
      </c>
      <c r="D76" s="63"/>
      <c r="E76" s="1485"/>
      <c r="F76" s="63"/>
      <c r="G76" s="64"/>
      <c r="H76" s="1483">
        <f>ROUND((F75-G77*(C76-D75)/E77),3)</f>
        <v>1.4E-2</v>
      </c>
      <c r="I76" s="1478"/>
      <c r="J76" s="59"/>
      <c r="K76" s="59"/>
      <c r="M76" s="1479"/>
    </row>
    <row r="77" spans="1:13" s="1475" customFormat="1" x14ac:dyDescent="0.25">
      <c r="A77" s="1473"/>
      <c r="B77" s="58"/>
      <c r="D77" s="63">
        <v>8</v>
      </c>
      <c r="E77" s="1485">
        <f t="shared" si="0"/>
        <v>1</v>
      </c>
      <c r="F77" s="63">
        <v>9.4000000000000004E-3</v>
      </c>
      <c r="G77" s="64">
        <f>F75-F77</f>
        <v>5.9999999999999984E-4</v>
      </c>
      <c r="H77" s="1483"/>
      <c r="I77" s="1478"/>
      <c r="J77" s="59"/>
      <c r="K77" s="59"/>
      <c r="M77" s="1479"/>
    </row>
    <row r="78" spans="1:13" s="1475" customFormat="1" x14ac:dyDescent="0.25">
      <c r="A78" s="1473"/>
      <c r="B78" s="62"/>
      <c r="C78" s="1481">
        <f>B78/1000000</f>
        <v>0</v>
      </c>
      <c r="D78" s="63"/>
      <c r="E78" s="1485"/>
      <c r="F78" s="63"/>
      <c r="G78" s="64"/>
      <c r="H78" s="1483">
        <f>ROUND((F77-G79*(C78-D77)/E79),3)</f>
        <v>6.0000000000000001E-3</v>
      </c>
      <c r="I78" s="1478"/>
      <c r="J78" s="59"/>
      <c r="K78" s="59"/>
      <c r="M78" s="1479"/>
    </row>
    <row r="79" spans="1:13" s="1475" customFormat="1" x14ac:dyDescent="0.25">
      <c r="A79" s="1473"/>
      <c r="B79" s="58"/>
      <c r="D79" s="63">
        <v>9</v>
      </c>
      <c r="E79" s="1485">
        <f t="shared" si="0"/>
        <v>1</v>
      </c>
      <c r="F79" s="1486">
        <v>9.7999999999999997E-3</v>
      </c>
      <c r="G79" s="64">
        <f>F77-F79</f>
        <v>-3.9999999999999931E-4</v>
      </c>
      <c r="H79" s="1483"/>
      <c r="I79" s="1478"/>
      <c r="J79" s="59"/>
      <c r="K79" s="59"/>
      <c r="M79" s="1479"/>
    </row>
    <row r="80" spans="1:13" s="1475" customFormat="1" x14ac:dyDescent="0.25">
      <c r="A80" s="1473"/>
      <c r="B80" s="62"/>
      <c r="C80" s="1481">
        <f>B80/1000000</f>
        <v>0</v>
      </c>
      <c r="D80" s="63"/>
      <c r="E80" s="1485"/>
      <c r="F80" s="63"/>
      <c r="G80" s="64"/>
      <c r="H80" s="1483">
        <f>ROUND((F79-G81*(C80-D79)/E81),3)</f>
        <v>1.2999999999999999E-2</v>
      </c>
      <c r="I80" s="1478"/>
      <c r="J80" s="59"/>
      <c r="K80" s="59"/>
      <c r="M80" s="1479"/>
    </row>
    <row r="81" spans="1:13" s="1475" customFormat="1" x14ac:dyDescent="0.25">
      <c r="A81" s="1473"/>
      <c r="B81" s="58"/>
      <c r="D81" s="63">
        <v>10</v>
      </c>
      <c r="E81" s="1485">
        <f t="shared" si="0"/>
        <v>1</v>
      </c>
      <c r="F81" s="63">
        <v>9.4999999999999998E-3</v>
      </c>
      <c r="G81" s="64">
        <f>F79-F81</f>
        <v>2.9999999999999992E-4</v>
      </c>
      <c r="H81" s="1483"/>
      <c r="I81" s="1478"/>
      <c r="J81" s="59"/>
      <c r="K81" s="59"/>
      <c r="M81" s="1479"/>
    </row>
    <row r="82" spans="1:13" s="1475" customFormat="1" x14ac:dyDescent="0.25">
      <c r="A82" s="1473"/>
      <c r="E82" s="1485"/>
      <c r="H82" s="1483" t="e">
        <f>ROUND((F81-G83*(C82-D81)/E83),3)</f>
        <v>#DIV/0!</v>
      </c>
      <c r="I82" s="1476"/>
    </row>
    <row r="83" spans="1:13" s="1475" customFormat="1" x14ac:dyDescent="0.25">
      <c r="A83" s="1473"/>
      <c r="B83" s="58"/>
      <c r="D83" s="63" t="s">
        <v>662</v>
      </c>
      <c r="E83" s="1485"/>
      <c r="F83" s="63">
        <v>8.9999999999999993E-3</v>
      </c>
      <c r="G83" s="64"/>
      <c r="H83" s="1483"/>
      <c r="I83" s="1478"/>
      <c r="J83" s="59"/>
      <c r="K83" s="59"/>
      <c r="M83" s="1479"/>
    </row>
    <row r="84" spans="1:13" s="1475" customFormat="1" ht="12.75" x14ac:dyDescent="0.2">
      <c r="A84" s="1473"/>
      <c r="I84" s="1476"/>
    </row>
  </sheetData>
  <mergeCells count="9">
    <mergeCell ref="F24:G24"/>
    <mergeCell ref="B17:C17"/>
    <mergeCell ref="A7:G7"/>
    <mergeCell ref="A8:G8"/>
    <mergeCell ref="A9:G9"/>
    <mergeCell ref="A13:G13"/>
    <mergeCell ref="B16:C16"/>
    <mergeCell ref="A10:G10"/>
    <mergeCell ref="A11:G11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0" fitToHeight="2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27</vt:i4>
      </vt:variant>
    </vt:vector>
  </HeadingPairs>
  <TitlesOfParts>
    <vt:vector size="47" baseType="lpstr">
      <vt:lpstr> ССР</vt:lpstr>
      <vt:lpstr> ССР (нов)</vt:lpstr>
      <vt:lpstr>Т.с.</vt:lpstr>
      <vt:lpstr>вв-выводы</vt:lpstr>
      <vt:lpstr>ООС+ТР</vt:lpstr>
      <vt:lpstr>ТР </vt:lpstr>
      <vt:lpstr>ПОЖ</vt:lpstr>
      <vt:lpstr>РДП</vt:lpstr>
      <vt:lpstr>СОГЛ</vt:lpstr>
      <vt:lpstr>Перекладка </vt:lpstr>
      <vt:lpstr>обслед</vt:lpstr>
      <vt:lpstr>шурф</vt:lpstr>
      <vt:lpstr>оцен влиян</vt:lpstr>
      <vt:lpstr>мониторинг</vt:lpstr>
      <vt:lpstr>экол</vt:lpstr>
      <vt:lpstr>Геология</vt:lpstr>
      <vt:lpstr>геодезия</vt:lpstr>
      <vt:lpstr>АН</vt:lpstr>
      <vt:lpstr>Расчет эскертизы</vt:lpstr>
      <vt:lpstr>размножение проекта</vt:lpstr>
      <vt:lpstr>мониторинг!Заголовки_для_печати</vt:lpstr>
      <vt:lpstr>обслед!Заголовки_для_печати</vt:lpstr>
      <vt:lpstr>'ООС+ТР'!Заголовки_для_печати</vt:lpstr>
      <vt:lpstr>'оцен влиян'!Заголовки_для_печати</vt:lpstr>
      <vt:lpstr>'Перекладка '!Заголовки_для_печати</vt:lpstr>
      <vt:lpstr>Т.с.!Заголовки_для_печати</vt:lpstr>
      <vt:lpstr>'ТР '!Заголовки_для_печати</vt:lpstr>
      <vt:lpstr>шурф!Заголовки_для_печати</vt:lpstr>
      <vt:lpstr>' ССР'!Область_печати</vt:lpstr>
      <vt:lpstr>' ССР (нов)'!Область_печати</vt:lpstr>
      <vt:lpstr>АН!Область_печати</vt:lpstr>
      <vt:lpstr>'вв-выводы'!Область_печати</vt:lpstr>
      <vt:lpstr>Геология!Область_печати</vt:lpstr>
      <vt:lpstr>мониторинг!Область_печати</vt:lpstr>
      <vt:lpstr>обслед!Область_печати</vt:lpstr>
      <vt:lpstr>'ООС+ТР'!Область_печати</vt:lpstr>
      <vt:lpstr>'оцен влиян'!Область_печати</vt:lpstr>
      <vt:lpstr>'Перекладка '!Область_печати</vt:lpstr>
      <vt:lpstr>ПОЖ!Область_печати</vt:lpstr>
      <vt:lpstr>'размножение проекта'!Область_печати</vt:lpstr>
      <vt:lpstr>'Расчет эскертизы'!Область_печати</vt:lpstr>
      <vt:lpstr>РДП!Область_печати</vt:lpstr>
      <vt:lpstr>СОГЛ!Область_печати</vt:lpstr>
      <vt:lpstr>Т.с.!Область_печати</vt:lpstr>
      <vt:lpstr>'ТР '!Область_печати</vt:lpstr>
      <vt:lpstr>шурф!Область_печати</vt:lpstr>
      <vt:lpstr>экол!Область_печати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Кириченко Наталия Александровна</cp:lastModifiedBy>
  <cp:lastPrinted>2016-08-31T09:15:27Z</cp:lastPrinted>
  <dcterms:created xsi:type="dcterms:W3CDTF">2004-03-03T10:32:04Z</dcterms:created>
  <dcterms:modified xsi:type="dcterms:W3CDTF">2017-01-20T07:50:04Z</dcterms:modified>
</cp:coreProperties>
</file>