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B38" i="72" l="1"/>
  <c r="I34" i="86" l="1"/>
  <c r="C47" i="62" l="1"/>
  <c r="H42" i="62"/>
  <c r="H36" i="62"/>
  <c r="H62" i="70" l="1"/>
  <c r="H61" i="70"/>
  <c r="H54" i="62" l="1"/>
  <c r="H50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E37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D36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G16" i="71"/>
  <c r="H17" i="71" l="1"/>
  <c r="D23" i="86" s="1"/>
  <c r="D20" i="66"/>
  <c r="D24" i="80"/>
  <c r="G24" i="80" s="1"/>
  <c r="G23" i="70"/>
  <c r="G16" i="70"/>
  <c r="G15" i="70"/>
  <c r="H23" i="70"/>
  <c r="H69" i="70" s="1"/>
  <c r="H16" i="70"/>
  <c r="H15" i="70"/>
  <c r="H23" i="86" l="1"/>
  <c r="G23" i="86"/>
  <c r="H17" i="70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G12" i="80" l="1"/>
  <c r="G19" i="80" s="1"/>
  <c r="H102" i="62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C36" i="72" s="1"/>
  <c r="H36" i="72" s="1"/>
  <c r="E17" i="72" s="1"/>
  <c r="C38" i="72" l="1"/>
  <c r="H38" i="72" s="1"/>
  <c r="C34" i="72"/>
  <c r="H34" i="72" s="1"/>
  <c r="D38" i="86"/>
  <c r="D39" i="86" s="1"/>
  <c r="G17" i="72" l="1"/>
  <c r="D21" i="66" s="1"/>
  <c r="F17" i="72"/>
  <c r="D25" i="80" l="1"/>
  <c r="D29" i="80" s="1"/>
  <c r="D32" i="80" s="1"/>
  <c r="D24" i="66"/>
  <c r="D25" i="66" s="1"/>
  <c r="A36" i="66"/>
  <c r="D36" i="66"/>
  <c r="D38" i="66" s="1"/>
  <c r="D39" i="66" s="1"/>
  <c r="D40" i="66" s="1"/>
  <c r="G25" i="80" l="1"/>
  <c r="G29" i="80" s="1"/>
  <c r="G32" i="80" s="1"/>
  <c r="G34" i="80" s="1"/>
  <c r="G35" i="80" s="1"/>
  <c r="G36" i="80" s="1"/>
</calcChain>
</file>

<file path=xl/sharedStrings.xml><?xml version="1.0" encoding="utf-8"?>
<sst xmlns="http://schemas.openxmlformats.org/spreadsheetml/2006/main" count="1477" uniqueCount="761">
  <si>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</si>
  <si>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</si>
  <si>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</si>
  <si>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</si>
  <si>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</si>
  <si>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</si>
  <si>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</si>
  <si>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</si>
  <si>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</si>
  <si>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</si>
  <si>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</si>
  <si>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</si>
  <si>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</si>
  <si>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</si>
  <si>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</si>
  <si>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</si>
  <si>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</si>
  <si>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</si>
  <si>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</si>
  <si>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</si>
  <si>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</si>
  <si>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</si>
  <si>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</si>
  <si>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</si>
  <si>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</si>
  <si>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</si>
  <si>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</si>
  <si>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</si>
  <si>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</si>
  <si>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</si>
  <si>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</si>
  <si>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</si>
  <si>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</si>
  <si>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</si>
  <si>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</si>
  <si>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</si>
  <si>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</si>
  <si>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</si>
  <si>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</si>
  <si>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</si>
  <si>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</si>
  <si>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</si>
  <si>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</si>
  <si>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</si>
  <si>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</si>
  <si>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</si>
  <si>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</si>
  <si>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</si>
  <si>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</si>
  <si>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</si>
  <si>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</si>
  <si>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</si>
  <si>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</si>
  <si>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</si>
  <si>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</si>
  <si>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</si>
  <si>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</si>
  <si>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</si>
  <si>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</si>
  <si>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</si>
  <si>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</si>
  <si>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</si>
  <si>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</si>
  <si>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</si>
  <si>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</si>
  <si>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</si>
  <si>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</si>
  <si>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</si>
  <si>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</si>
  <si>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</si>
  <si>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</si>
  <si>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</si>
  <si>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</si>
  <si>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</si>
  <si>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</si>
  <si>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</si>
  <si>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</si>
  <si>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</si>
  <si>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</si>
  <si>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</si>
  <si>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</si>
  <si>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</si>
  <si>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</si>
  <si>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</si>
  <si>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</si>
  <si>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</si>
  <si>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</si>
  <si>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</si>
  <si>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</si>
  <si>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</si>
  <si>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</si>
  <si>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</si>
  <si>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</si>
  <si>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</si>
  <si>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</si>
  <si>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</si>
  <si>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</si>
  <si>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</si>
  <si>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</si>
  <si>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</si>
  <si>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</si>
  <si>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</si>
  <si>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</si>
  <si>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</si>
  <si>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</si>
  <si>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</si>
  <si>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</si>
  <si>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</si>
  <si>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</si>
  <si>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</si>
  <si>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</si>
  <si>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</si>
  <si>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</si>
  <si>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</si>
  <si>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</si>
  <si>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</si>
  <si>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</si>
  <si>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</si>
  <si>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</si>
  <si>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</si>
  <si>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</si>
  <si>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</si>
  <si>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</si>
  <si>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</si>
  <si>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</si>
  <si>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</si>
  <si>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</si>
  <si>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</si>
  <si>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</si>
  <si>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</si>
  <si>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</si>
  <si>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</si>
  <si>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</si>
  <si>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</si>
  <si>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</si>
  <si>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</si>
  <si>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</si>
  <si>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</si>
  <si>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</si>
  <si>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</si>
  <si>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</si>
  <si>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</si>
  <si>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</si>
  <si>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</si>
  <si>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</si>
  <si>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</si>
  <si>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</si>
  <si>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</si>
  <si>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</si>
  <si>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</si>
  <si>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</si>
  <si>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</si>
  <si>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</si>
  <si>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</si>
  <si>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</si>
  <si>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</si>
  <si>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</si>
  <si>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</si>
  <si>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</si>
  <si>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</si>
  <si>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</si>
  <si>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</si>
  <si>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</si>
  <si>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</si>
  <si>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</si>
  <si>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</si>
  <si>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</si>
  <si>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</si>
  <si>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</si>
  <si>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</si>
  <si>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</si>
  <si>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</si>
  <si>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</si>
  <si>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</si>
  <si>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</si>
  <si>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</si>
  <si>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</si>
  <si>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</si>
  <si>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</si>
  <si>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</si>
  <si>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</si>
  <si>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</si>
  <si>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</si>
  <si>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</si>
  <si>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</si>
  <si>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</si>
  <si>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</si>
  <si>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</si>
  <si>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</si>
  <si>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</si>
  <si>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</si>
  <si>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</si>
  <si>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</si>
  <si>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</si>
  <si>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</si>
  <si>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</si>
  <si>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</si>
  <si>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</si>
  <si>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</si>
  <si>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</si>
  <si>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</si>
  <si>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</si>
  <si>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</si>
  <si>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</si>
  <si>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</si>
  <si>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</si>
  <si>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</si>
  <si>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</si>
  <si>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</si>
  <si>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</si>
  <si>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</si>
  <si>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</si>
  <si>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</si>
  <si>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</si>
  <si>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</si>
  <si>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</si>
  <si>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</si>
  <si>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</si>
  <si>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</si>
  <si>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</si>
  <si>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</si>
  <si>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</si>
  <si>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</si>
  <si>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</si>
  <si>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</si>
  <si>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</si>
  <si>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</si>
  <si>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</si>
  <si>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</si>
  <si>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</si>
  <si>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</si>
  <si>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</si>
  <si>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</si>
  <si>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</si>
  <si>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</si>
  <si>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</si>
  <si>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</si>
  <si>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</si>
  <si>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</si>
  <si>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</si>
  <si>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</si>
  <si>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</si>
  <si>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</si>
  <si>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</si>
  <si>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</si>
  <si>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</si>
  <si>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</si>
  <si>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</si>
  <si>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</si>
  <si>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</si>
  <si>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</si>
  <si>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</si>
  <si>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</si>
  <si>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</si>
  <si>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</si>
  <si>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</si>
  <si>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</si>
  <si>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</si>
  <si>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</si>
  <si>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</si>
  <si>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</si>
  <si>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</si>
  <si>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</si>
  <si>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</si>
  <si>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</si>
  <si>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</si>
  <si>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</si>
  <si>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</si>
  <si>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</si>
  <si>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</si>
  <si>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</si>
  <si>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</si>
  <si>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</si>
  <si>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</si>
  <si>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</si>
  <si>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</si>
  <si>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</si>
  <si>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</si>
  <si>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</si>
  <si>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</si>
  <si>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</si>
  <si>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</si>
  <si>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</si>
  <si>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</si>
  <si>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</si>
  <si>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</si>
  <si>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</si>
  <si>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</si>
  <si>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</si>
  <si>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</si>
  <si>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</si>
  <si>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</si>
  <si>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</si>
  <si>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</si>
  <si>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</si>
  <si>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</si>
  <si>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</si>
  <si>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</si>
  <si>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</si>
  <si>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</si>
  <si>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</si>
  <si>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</si>
  <si>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</si>
  <si>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</si>
  <si>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</si>
  <si>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</si>
  <si>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</si>
  <si>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</si>
  <si>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</si>
  <si>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</si>
  <si>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</si>
  <si>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</si>
  <si>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</si>
  <si>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</si>
  <si>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</si>
  <si>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</si>
  <si>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</si>
  <si>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</si>
  <si>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</si>
  <si>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</si>
  <si>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</si>
  <si>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</si>
  <si>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</si>
  <si>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</si>
  <si>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</si>
  <si>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</si>
  <si>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</si>
  <si>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</si>
  <si>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</si>
  <si>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</si>
  <si>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</si>
  <si>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</si>
  <si>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</si>
  <si>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</si>
  <si>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</si>
  <si>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</si>
  <si>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</si>
  <si>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</si>
  <si>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</si>
  <si>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</si>
  <si>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</si>
  <si>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</si>
  <si>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</si>
  <si>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</si>
  <si>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</si>
  <si>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</si>
  <si>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</si>
  <si>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</si>
  <si>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</si>
  <si>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</si>
  <si>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</si>
  <si>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</si>
  <si>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</si>
  <si>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</si>
  <si>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</si>
  <si>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</si>
  <si>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</si>
  <si>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</si>
  <si>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</si>
  <si>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</si>
  <si>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</si>
  <si>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</si>
  <si>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</si>
  <si>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</si>
  <si>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</si>
  <si>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</si>
  <si>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</si>
  <si>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</si>
  <si>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</si>
  <si>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</si>
  <si>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</si>
  <si>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</si>
  <si>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</si>
  <si>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</si>
  <si>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</si>
  <si>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</si>
  <si>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</si>
  <si>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</si>
  <si>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</si>
  <si>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</si>
  <si>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</si>
  <si>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</si>
  <si>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</si>
  <si>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</si>
  <si>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</si>
  <si>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</si>
  <si>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</si>
  <si>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</si>
  <si>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</si>
  <si>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</si>
  <si>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</si>
  <si>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</si>
  <si>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</si>
  <si>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</si>
  <si>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</si>
  <si>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</si>
  <si>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</si>
  <si>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</si>
  <si>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</si>
  <si>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</si>
  <si>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</si>
  <si>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</si>
  <si>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</si>
  <si>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</si>
  <si>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</si>
  <si>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</si>
  <si>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</si>
  <si>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</si>
  <si>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</si>
  <si>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</si>
  <si>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</si>
  <si>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</si>
  <si>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</si>
  <si>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</si>
  <si>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</si>
  <si>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</si>
  <si>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</si>
  <si>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</si>
  <si>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</si>
  <si>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</si>
  <si>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</si>
  <si>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</si>
  <si>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</si>
  <si>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</si>
  <si>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</si>
  <si>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</si>
  <si>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</si>
  <si>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</si>
  <si>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</si>
  <si>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</si>
  <si>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</si>
  <si>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</si>
  <si>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</si>
  <si>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</si>
  <si>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</si>
  <si>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</si>
  <si>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</si>
  <si>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</si>
  <si>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</si>
  <si>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</si>
  <si>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</si>
  <si>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</si>
  <si>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</si>
  <si>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</si>
  <si>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</si>
  <si>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</si>
  <si>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</si>
  <si>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</si>
  <si>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</si>
  <si>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</si>
  <si>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</si>
  <si>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</si>
  <si>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</si>
  <si>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</si>
  <si>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</si>
  <si>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</si>
  <si>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</si>
  <si>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</si>
  <si>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</si>
  <si>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</si>
  <si>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</si>
  <si>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</si>
  <si>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</si>
  <si>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</si>
  <si>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</si>
  <si>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</si>
  <si>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</si>
  <si>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</si>
  <si>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</si>
  <si>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</si>
  <si>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</si>
  <si>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</si>
  <si>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</si>
  <si>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</si>
  <si>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</si>
  <si>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</si>
  <si>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</si>
  <si>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</si>
  <si>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</si>
  <si>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</si>
  <si>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</si>
  <si>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</si>
  <si>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</si>
  <si>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</si>
  <si>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</si>
  <si>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</si>
  <si>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</si>
  <si>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</si>
  <si>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</si>
  <si>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</si>
  <si>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</si>
  <si>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</si>
  <si>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</si>
  <si>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</si>
  <si>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</si>
  <si>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</si>
  <si>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</si>
  <si>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</si>
  <si>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</si>
  <si>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</si>
  <si>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</si>
  <si>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</si>
  <si>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</si>
  <si>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</si>
  <si>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</si>
  <si>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</si>
  <si>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</si>
  <si>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</si>
  <si>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</si>
  <si>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</si>
  <si>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</si>
  <si>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</si>
  <si>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</si>
  <si>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</si>
  <si>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</si>
  <si>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</si>
  <si>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</si>
  <si>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</si>
  <si>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</si>
  <si>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</si>
  <si>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</si>
  <si>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</si>
  <si>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</si>
  <si>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</si>
  <si>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</si>
  <si>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</si>
  <si>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</si>
  <si>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</si>
  <si>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</si>
  <si>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</si>
  <si>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</si>
  <si>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</si>
  <si>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</si>
  <si>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</si>
  <si>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</si>
  <si>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</si>
  <si>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</si>
  <si>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</si>
  <si>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</si>
  <si>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</si>
  <si>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</si>
  <si>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</si>
  <si>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</si>
  <si>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</si>
  <si>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</si>
  <si>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</si>
  <si>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</si>
  <si>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</si>
  <si>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</si>
  <si>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</si>
  <si>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</si>
  <si>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</si>
  <si>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</si>
  <si>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</si>
  <si>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</si>
  <si>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</si>
  <si>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</si>
  <si>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</si>
  <si>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</si>
  <si>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</si>
  <si>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</si>
  <si>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</si>
  <si>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</si>
  <si>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</si>
  <si>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</si>
  <si>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</si>
  <si>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</si>
  <si>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</si>
  <si>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</si>
  <si>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</si>
  <si>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</si>
  <si>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</si>
  <si>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</si>
  <si>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</si>
  <si>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</si>
  <si>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</si>
  <si>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</si>
  <si>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</si>
  <si>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</si>
  <si>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</si>
  <si>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</si>
  <si>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</si>
  <si>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</si>
  <si>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</si>
  <si>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</si>
  <si>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</si>
  <si>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</si>
  <si>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</si>
  <si>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</si>
  <si>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</si>
  <si>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</si>
  <si>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</si>
  <si>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</si>
  <si>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</si>
  <si>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</si>
  <si>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</si>
  <si>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</si>
  <si>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</si>
  <si>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</si>
  <si>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</si>
  <si>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</si>
  <si>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</si>
  <si>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</si>
  <si>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</si>
  <si>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</si>
  <si>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</si>
  <si>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</si>
  <si>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</si>
  <si>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</si>
  <si>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</si>
  <si>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</si>
  <si>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</si>
  <si>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</si>
  <si>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</si>
  <si>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</si>
  <si>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</si>
  <si>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</si>
  <si>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</si>
  <si>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</si>
  <si>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</si>
  <si>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</si>
  <si>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</si>
  <si>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</si>
  <si>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</si>
  <si>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</si>
  <si>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</si>
  <si>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</si>
  <si>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</si>
  <si>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</si>
  <si>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</si>
  <si>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</si>
  <si>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</si>
  <si>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</si>
  <si>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</si>
  <si>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</si>
  <si>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</si>
  <si>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</si>
  <si>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</si>
  <si>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</si>
  <si>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</si>
  <si>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</si>
  <si>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</si>
  <si>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</si>
  <si>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</si>
  <si>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</si>
  <si>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</si>
  <si>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</si>
  <si>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</si>
  <si>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</si>
  <si>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</si>
  <si>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</si>
  <si>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</si>
  <si>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</si>
  <si>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</si>
  <si>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</si>
  <si>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</si>
  <si>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</si>
  <si>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</si>
  <si>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</si>
  <si>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</si>
  <si>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</si>
  <si>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</si>
  <si>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</si>
  <si>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</si>
  <si>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</si>
  <si>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</si>
  <si>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</si>
  <si>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</si>
  <si>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</si>
  <si>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</si>
  <si>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</si>
  <si>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</si>
  <si>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</si>
  <si>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</si>
  <si>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</si>
  <si>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</si>
  <si>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</si>
  <si>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</si>
  <si>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</si>
  <si>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</si>
  <si>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</si>
  <si>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</si>
  <si>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</si>
  <si>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</si>
  <si>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</si>
  <si>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</si>
  <si>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</si>
  <si>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</si>
  <si>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</si>
  <si>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</si>
  <si>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</si>
  <si>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</si>
  <si>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</si>
  <si>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</si>
  <si>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</si>
  <si>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</si>
  <si>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</si>
  <si>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</si>
  <si>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</si>
  <si>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</si>
  <si>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</si>
  <si>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</si>
  <si>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</si>
  <si>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</si>
  <si>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</si>
  <si>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</si>
  <si>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</si>
  <si>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</si>
  <si>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</si>
  <si>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</si>
  <si>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</si>
  <si>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</si>
  <si>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</si>
  <si>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</si>
  <si>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</si>
  <si>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</si>
  <si>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</si>
  <si>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</si>
  <si>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</si>
  <si>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</si>
  <si>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</si>
  <si>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</si>
  <si>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</si>
  <si>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</si>
  <si>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</si>
  <si>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</si>
  <si>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</si>
  <si>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</si>
  <si>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</si>
  <si>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</si>
  <si>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</si>
  <si>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</si>
  <si>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</si>
  <si>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</si>
  <si>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</si>
  <si>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</si>
  <si>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</si>
  <si>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</si>
  <si>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</si>
  <si>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</si>
  <si>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</si>
  <si>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</si>
  <si>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</si>
  <si>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</si>
  <si>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</si>
  <si>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</si>
  <si>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</si>
  <si>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</si>
  <si>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</si>
  <si>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</si>
  <si>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</si>
  <si>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</si>
  <si>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</si>
  <si>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</si>
  <si>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Теплосеть </t>
  </si>
  <si>
    <t xml:space="preserve">Байпас </t>
  </si>
  <si>
    <t>Сборная</t>
  </si>
  <si>
    <t xml:space="preserve">Перекладка теплового ввода </t>
  </si>
  <si>
    <t>2Ду80 мм</t>
  </si>
  <si>
    <t>2 Ду 65</t>
  </si>
  <si>
    <t>г. Москва , ул. Гамалеи д.11к.1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</si>
</sst>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6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4" fontId="34" fillId="0" borderId="4" xfId="0" applyNumberFormat="1" applyFont="1" applyFill="1" applyBorder="1" applyAlignment="1" applyProtection="1">
      <alignment horizontal="left" vertical="top" wrapText="1"/>
      <protection locked="0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33" fillId="0" borderId="0" xfId="15" applyFont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74" fillId="0" borderId="31" xfId="26" applyFont="1" applyFill="1" applyBorder="1" applyAlignment="1">
      <alignment horizontal="center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54" xfId="0" applyFont="1" applyBorder="1" applyAlignment="1">
      <alignment horizontal="left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74" fillId="0" borderId="70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13" xfId="0" applyFont="1" applyFill="1" applyBorder="1" applyAlignment="1">
      <alignment horizontal="center" vertical="center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33" fillId="0" borderId="0" xfId="55" applyFont="1" applyFill="1" applyBorder="1" applyAlignment="1">
      <alignment horizontal="left" vertical="distributed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distributed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114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34" fillId="0" borderId="0" xfId="37" applyFont="1" applyFill="1" applyAlignment="1">
      <alignment horizontal="center" vertical="center"/>
    </xf>
    <xf numFmtId="0" fontId="38" fillId="0" borderId="0" xfId="37" applyFont="1" applyAlignment="1">
      <alignment horizontal="left" vertical="center" wrapText="1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48</v>
      </c>
      <c r="E1" s="376"/>
    </row>
    <row r="2" spans="1:12" s="375" customFormat="1" ht="18" customHeight="1" x14ac:dyDescent="0.2">
      <c r="C2" s="363" t="s">
        <v>184</v>
      </c>
      <c r="E2" s="376"/>
    </row>
    <row r="3" spans="1:12" s="375" customFormat="1" ht="18" customHeight="1" x14ac:dyDescent="0.2">
      <c r="B3" s="363"/>
      <c r="C3" s="363" t="s">
        <v>185</v>
      </c>
      <c r="E3" s="376"/>
    </row>
    <row r="4" spans="1:12" x14ac:dyDescent="0.2">
      <c r="B4" s="378"/>
      <c r="C4" s="377"/>
      <c r="D4" s="379"/>
    </row>
    <row r="5" spans="1:12" x14ac:dyDescent="0.2">
      <c r="A5" s="1834" t="s">
        <v>49</v>
      </c>
      <c r="B5" s="1834"/>
      <c r="C5" s="1834"/>
      <c r="D5" s="1834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5" t="s">
        <v>186</v>
      </c>
      <c r="B7" s="1836"/>
      <c r="C7" s="1836"/>
      <c r="D7" s="1836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19</v>
      </c>
      <c r="B9" s="168" t="s">
        <v>50</v>
      </c>
      <c r="C9" s="168" t="s">
        <v>143</v>
      </c>
      <c r="D9" s="168" t="s">
        <v>51</v>
      </c>
    </row>
    <row r="10" spans="1:12" x14ac:dyDescent="0.2">
      <c r="A10" s="50"/>
      <c r="B10" s="50" t="s">
        <v>52</v>
      </c>
      <c r="C10" s="50"/>
      <c r="D10" s="50"/>
    </row>
    <row r="11" spans="1:12" ht="15.75" x14ac:dyDescent="0.2">
      <c r="A11" s="53">
        <v>1</v>
      </c>
      <c r="B11" s="20" t="s">
        <v>538</v>
      </c>
      <c r="C11" s="53" t="s">
        <v>144</v>
      </c>
      <c r="D11" s="370">
        <f>экол!G17</f>
        <v>5786.7999999999993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539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540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541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542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53</v>
      </c>
      <c r="C16" s="385"/>
      <c r="D16" s="386">
        <f>SUM(D11:D11)</f>
        <v>5786.7999999999993</v>
      </c>
      <c r="E16" s="377"/>
    </row>
    <row r="17" spans="1:12" ht="15.75" x14ac:dyDescent="0.2">
      <c r="A17" s="53"/>
      <c r="B17" s="50" t="s">
        <v>54</v>
      </c>
      <c r="C17" s="53"/>
      <c r="D17" s="371"/>
      <c r="E17" s="379"/>
      <c r="F17" s="379"/>
      <c r="G17" s="1830"/>
      <c r="H17" s="1830"/>
      <c r="I17" s="1830"/>
      <c r="J17" s="1830"/>
    </row>
    <row r="18" spans="1:12" ht="15.75" x14ac:dyDescent="0.2">
      <c r="A18" s="53">
        <v>2</v>
      </c>
      <c r="B18" s="20" t="s">
        <v>55</v>
      </c>
      <c r="C18" s="53" t="s">
        <v>213</v>
      </c>
      <c r="D18" s="370">
        <f>Т.с.!H89+'вв-выводы'!E35</f>
        <v>331466.88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56</v>
      </c>
      <c r="C19" s="53" t="s">
        <v>145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61</v>
      </c>
      <c r="C20" s="53" t="s">
        <v>146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111</v>
      </c>
      <c r="C21" s="53" t="s">
        <v>148</v>
      </c>
      <c r="D21" s="370">
        <f>СОГЛ!G17</f>
        <v>47000.27</v>
      </c>
      <c r="E21" s="387"/>
    </row>
    <row r="22" spans="1:12" ht="15.75" x14ac:dyDescent="0.2">
      <c r="A22" s="53">
        <v>6</v>
      </c>
      <c r="B22" s="49" t="s">
        <v>122</v>
      </c>
      <c r="C22" s="53" t="s">
        <v>147</v>
      </c>
      <c r="D22" s="370">
        <f>РДП!H24</f>
        <v>67849.2</v>
      </c>
      <c r="E22" s="387"/>
    </row>
    <row r="23" spans="1:12" ht="15.75" x14ac:dyDescent="0.2">
      <c r="A23" s="53">
        <v>7</v>
      </c>
      <c r="B23" s="49" t="s">
        <v>286</v>
      </c>
      <c r="C23" s="53" t="s">
        <v>285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75</v>
      </c>
      <c r="C24" s="53"/>
      <c r="D24" s="371">
        <f>SUM(D18:D23)</f>
        <v>523811.55000000005</v>
      </c>
      <c r="E24" s="387"/>
    </row>
    <row r="25" spans="1:12" s="391" customFormat="1" ht="15.75" x14ac:dyDescent="0.2">
      <c r="A25" s="367"/>
      <c r="B25" s="1831" t="s">
        <v>64</v>
      </c>
      <c r="C25" s="1831"/>
      <c r="D25" s="372">
        <f>ROUND(D16+D24,2)</f>
        <v>529598.35</v>
      </c>
      <c r="E25" s="388"/>
      <c r="F25" s="389"/>
      <c r="G25" s="390"/>
    </row>
    <row r="26" spans="1:12" ht="15.75" x14ac:dyDescent="0.2">
      <c r="A26" s="1832" t="s">
        <v>65</v>
      </c>
      <c r="B26" s="1832"/>
      <c r="C26" s="1832"/>
      <c r="D26" s="373">
        <f>D16</f>
        <v>5786.7999999999993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43" t="s">
        <v>68</v>
      </c>
      <c r="B30" s="1843"/>
      <c r="C30" s="1843"/>
      <c r="D30" s="1843"/>
    </row>
    <row r="31" spans="1:12" s="397" customFormat="1" ht="30.75" customHeight="1" x14ac:dyDescent="0.2">
      <c r="A31" s="167" t="s">
        <v>19</v>
      </c>
      <c r="B31" s="167" t="s">
        <v>50</v>
      </c>
      <c r="C31" s="167" t="s">
        <v>78</v>
      </c>
      <c r="D31" s="167" t="s">
        <v>51</v>
      </c>
      <c r="E31" s="396"/>
    </row>
    <row r="32" spans="1:12" s="395" customFormat="1" ht="64.5" customHeight="1" x14ac:dyDescent="0.2">
      <c r="A32" s="12">
        <v>1</v>
      </c>
      <c r="B32" s="478" t="s">
        <v>163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164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219</v>
      </c>
      <c r="C34" s="12">
        <v>3.5049999999999999</v>
      </c>
      <c r="D34" s="374"/>
    </row>
    <row r="35" spans="1:7" ht="15" customHeight="1" x14ac:dyDescent="0.2">
      <c r="A35" s="1837" t="str">
        <f>CONCATENATE("изыскательские работы            ",D26,"х",C32)</f>
        <v>изыскательские работы            5786,8х3,93</v>
      </c>
      <c r="B35" s="1838"/>
      <c r="C35" s="1839"/>
      <c r="D35" s="368">
        <f>ROUND(D26*C32,2)</f>
        <v>22742.12</v>
      </c>
      <c r="E35" s="392"/>
      <c r="F35" s="393"/>
      <c r="G35" s="394"/>
    </row>
    <row r="36" spans="1:7" ht="15" customHeight="1" x14ac:dyDescent="0.2">
      <c r="A36" s="1840" t="str">
        <f>CONCATENATE("проектные работы    ","(",D18,"+",D19,"+",D20,"+",D21,")","х",C34," + ",D22,"х",C33,")")</f>
        <v>проектные работы    (331466,88+72995,2+4500+47000,27)х3,505 + 67849,2х3,92)</v>
      </c>
      <c r="B36" s="1841"/>
      <c r="C36" s="1842"/>
      <c r="D36" s="369">
        <f>ROUND((D18+D19+D20+D21)*C34+D22*C33,2)</f>
        <v>1864116.9</v>
      </c>
      <c r="E36" s="392"/>
      <c r="F36" s="393"/>
      <c r="G36" s="394"/>
    </row>
    <row r="37" spans="1:7" ht="15" customHeight="1" x14ac:dyDescent="0.2">
      <c r="A37" s="479"/>
      <c r="B37" s="694" t="s">
        <v>287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33" t="s">
        <v>66</v>
      </c>
      <c r="C38" s="1833"/>
      <c r="D38" s="365">
        <f>ROUND(D35+D36+D37,2)</f>
        <v>1903552.15</v>
      </c>
    </row>
    <row r="39" spans="1:7" s="395" customFormat="1" ht="15.75" x14ac:dyDescent="0.2">
      <c r="A39" s="366"/>
      <c r="B39" s="1833" t="s">
        <v>1</v>
      </c>
      <c r="C39" s="1833"/>
      <c r="D39" s="365">
        <f>ROUND(D38*18%,2)</f>
        <v>342639.39</v>
      </c>
    </row>
    <row r="40" spans="1:7" s="395" customFormat="1" ht="15.75" x14ac:dyDescent="0.2">
      <c r="A40" s="366"/>
      <c r="B40" s="1833" t="s">
        <v>67</v>
      </c>
      <c r="C40" s="1833"/>
      <c r="D40" s="365">
        <f>ROUND(D38+D39,2)</f>
        <v>2246191.54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B40:C40"/>
    <mergeCell ref="A5:D5"/>
    <mergeCell ref="A7:D7"/>
    <mergeCell ref="A35:C35"/>
    <mergeCell ref="A36:C36"/>
    <mergeCell ref="A30:D30"/>
    <mergeCell ref="G17:J17"/>
    <mergeCell ref="B25:C25"/>
    <mergeCell ref="A26:C26"/>
    <mergeCell ref="B38:C38"/>
    <mergeCell ref="B39:C3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1990" t="s">
        <v>549</v>
      </c>
      <c r="B6" s="1990"/>
      <c r="C6" s="1990"/>
      <c r="D6" s="1990"/>
      <c r="E6" s="1990"/>
      <c r="F6" s="1990"/>
      <c r="G6" s="1990"/>
      <c r="H6" s="1990"/>
    </row>
    <row r="7" spans="1:9" ht="57.75" customHeight="1" x14ac:dyDescent="0.2">
      <c r="A7" s="1986" t="str">
        <f>' ССР (нов)'!A6:G6</f>
        <v xml:space="preserve">Перекладка теплового ввода </v>
      </c>
      <c r="B7" s="1986"/>
      <c r="C7" s="1986"/>
      <c r="D7" s="1986"/>
      <c r="E7" s="1986"/>
      <c r="F7" s="1986"/>
      <c r="G7" s="1986"/>
      <c r="H7" s="1986"/>
    </row>
    <row r="8" spans="1:9" ht="27.75" customHeight="1" x14ac:dyDescent="0.2">
      <c r="A8" s="1985" t="str">
        <f>' ССР (нов)'!A7:G7</f>
        <v>г. Москва , ул. Гамалеи д.11к.1</v>
      </c>
      <c r="B8" s="1985"/>
      <c r="C8" s="1985"/>
      <c r="D8" s="1985"/>
      <c r="E8" s="1985"/>
      <c r="F8" s="1985"/>
      <c r="G8" s="1985"/>
      <c r="H8" s="1985"/>
    </row>
    <row r="9" spans="1:9" ht="30.75" customHeight="1" x14ac:dyDescent="0.2">
      <c r="A9" s="1985" t="s">
        <v>631</v>
      </c>
      <c r="B9" s="1985"/>
      <c r="C9" s="1985"/>
      <c r="D9" s="1985"/>
      <c r="E9" s="1985"/>
      <c r="F9" s="1985"/>
      <c r="G9" s="1985"/>
      <c r="H9" s="1985"/>
    </row>
    <row r="10" spans="1:9" ht="21" customHeight="1" thickBot="1" x14ac:dyDescent="0.25">
      <c r="A10" s="1991"/>
      <c r="B10" s="1991"/>
      <c r="C10" s="1991"/>
      <c r="D10" s="1991"/>
      <c r="E10" s="1991"/>
      <c r="F10" s="1991"/>
      <c r="G10" s="1991"/>
      <c r="H10" s="1991"/>
    </row>
    <row r="11" spans="1:9" x14ac:dyDescent="0.2">
      <c r="A11" s="1992" t="s">
        <v>101</v>
      </c>
      <c r="B11" s="1993"/>
      <c r="C11" s="1993"/>
      <c r="D11" s="1993"/>
      <c r="E11" s="1993"/>
      <c r="F11" s="1993"/>
      <c r="G11" s="1993"/>
      <c r="H11" s="1994"/>
    </row>
    <row r="12" spans="1:9" ht="16.5" thickBot="1" x14ac:dyDescent="0.25">
      <c r="A12" s="1996" t="s">
        <v>220</v>
      </c>
      <c r="B12" s="1997"/>
      <c r="C12" s="1997"/>
      <c r="D12" s="1997"/>
      <c r="E12" s="1997"/>
      <c r="F12" s="1997"/>
      <c r="G12" s="1997"/>
      <c r="H12" s="1998"/>
    </row>
    <row r="13" spans="1:9" ht="26.25" thickBot="1" x14ac:dyDescent="0.25">
      <c r="A13" s="494" t="s">
        <v>104</v>
      </c>
      <c r="B13" s="1999" t="s">
        <v>3</v>
      </c>
      <c r="C13" s="2000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01" t="s">
        <v>221</v>
      </c>
      <c r="B14" s="2002"/>
      <c r="C14" s="2002"/>
      <c r="D14" s="2002"/>
      <c r="E14" s="2002"/>
      <c r="F14" s="2002"/>
      <c r="G14" s="2002"/>
      <c r="H14" s="2003"/>
      <c r="I14" s="498"/>
    </row>
    <row r="15" spans="1:9" s="30" customFormat="1" ht="47.25" x14ac:dyDescent="0.2">
      <c r="A15" s="2004">
        <v>1</v>
      </c>
      <c r="B15" s="499" t="s">
        <v>222</v>
      </c>
      <c r="C15" s="567">
        <v>0</v>
      </c>
      <c r="D15" s="500">
        <f>C16+C15*C17</f>
        <v>0</v>
      </c>
      <c r="E15" s="501" t="s">
        <v>223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2005"/>
      <c r="B16" s="477" t="s">
        <v>224</v>
      </c>
      <c r="C16" s="505">
        <v>0</v>
      </c>
      <c r="D16" s="506"/>
      <c r="E16" s="1533" t="s">
        <v>670</v>
      </c>
      <c r="F16" s="1534">
        <v>1.4</v>
      </c>
      <c r="G16" s="508"/>
      <c r="H16" s="509"/>
    </row>
    <row r="17" spans="1:9" s="30" customFormat="1" ht="47.25" x14ac:dyDescent="0.2">
      <c r="A17" s="2005"/>
      <c r="B17" s="510" t="s">
        <v>12</v>
      </c>
      <c r="C17" s="511">
        <v>0</v>
      </c>
      <c r="D17" s="512"/>
      <c r="E17" s="513" t="s">
        <v>225</v>
      </c>
      <c r="F17" s="514">
        <v>0.6</v>
      </c>
      <c r="G17" s="515"/>
      <c r="H17" s="516"/>
    </row>
    <row r="18" spans="1:9" x14ac:dyDescent="0.2">
      <c r="A18" s="2005"/>
      <c r="B18" s="517" t="s">
        <v>226</v>
      </c>
      <c r="C18" s="518"/>
      <c r="D18" s="195"/>
      <c r="E18" s="192"/>
      <c r="F18" s="194"/>
      <c r="G18" s="519"/>
      <c r="H18" s="520"/>
    </row>
    <row r="19" spans="1:9" ht="31.5" x14ac:dyDescent="0.2">
      <c r="A19" s="2005"/>
      <c r="B19" s="507" t="s">
        <v>227</v>
      </c>
      <c r="C19" s="521">
        <v>0</v>
      </c>
      <c r="D19" s="522">
        <f>C20</f>
        <v>0</v>
      </c>
      <c r="E19" s="507" t="s">
        <v>228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2005"/>
      <c r="B20" s="477" t="s">
        <v>224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2006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2007" t="s">
        <v>229</v>
      </c>
      <c r="C22" s="2008"/>
      <c r="D22" s="2008"/>
      <c r="E22" s="2008"/>
      <c r="F22" s="2008"/>
      <c r="G22" s="2009"/>
      <c r="H22" s="343">
        <f>SUM(H15:H20)</f>
        <v>0</v>
      </c>
      <c r="I22" s="31">
        <f>H19+H15</f>
        <v>0</v>
      </c>
    </row>
    <row r="23" spans="1:9" x14ac:dyDescent="0.2">
      <c r="A23" s="2010" t="s">
        <v>230</v>
      </c>
      <c r="B23" s="2011"/>
      <c r="C23" s="2011"/>
      <c r="D23" s="2011"/>
      <c r="E23" s="2011"/>
      <c r="F23" s="2011"/>
      <c r="G23" s="2011"/>
      <c r="H23" s="2012"/>
    </row>
    <row r="24" spans="1:9" ht="31.5" x14ac:dyDescent="0.2">
      <c r="A24" s="2013">
        <v>2</v>
      </c>
      <c r="B24" s="533" t="s">
        <v>231</v>
      </c>
      <c r="C24" s="534">
        <v>0</v>
      </c>
      <c r="D24" s="535">
        <f>C25+C26*C24</f>
        <v>0</v>
      </c>
      <c r="E24" s="536" t="s">
        <v>232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4"/>
      <c r="B25" s="507" t="s">
        <v>233</v>
      </c>
      <c r="C25" s="505">
        <v>0</v>
      </c>
      <c r="D25" s="540"/>
      <c r="E25" s="541" t="s">
        <v>234</v>
      </c>
      <c r="F25" s="542">
        <v>0.8</v>
      </c>
      <c r="G25" s="543"/>
      <c r="H25" s="544"/>
    </row>
    <row r="26" spans="1:9" x14ac:dyDescent="0.2">
      <c r="A26" s="2014"/>
      <c r="B26" s="545" t="s">
        <v>235</v>
      </c>
      <c r="C26" s="507">
        <v>0</v>
      </c>
      <c r="D26" s="522"/>
      <c r="E26" s="507" t="s">
        <v>236</v>
      </c>
      <c r="F26" s="523">
        <v>2</v>
      </c>
      <c r="G26" s="524"/>
      <c r="H26" s="546"/>
    </row>
    <row r="27" spans="1:9" ht="47.25" x14ac:dyDescent="0.2">
      <c r="A27" s="2014"/>
      <c r="B27" s="547"/>
      <c r="C27" s="547"/>
      <c r="D27" s="548"/>
      <c r="E27" s="549" t="s">
        <v>237</v>
      </c>
      <c r="F27" s="550">
        <v>0.3</v>
      </c>
      <c r="G27" s="551"/>
      <c r="H27" s="552"/>
    </row>
    <row r="28" spans="1:9" ht="15.75" customHeight="1" x14ac:dyDescent="0.2">
      <c r="A28" s="2014"/>
      <c r="B28" s="517" t="s">
        <v>226</v>
      </c>
      <c r="C28" s="518"/>
      <c r="D28" s="195"/>
      <c r="E28" s="192"/>
      <c r="F28" s="194"/>
      <c r="G28" s="519"/>
      <c r="H28" s="520"/>
    </row>
    <row r="29" spans="1:9" ht="31.5" x14ac:dyDescent="0.2">
      <c r="A29" s="2014"/>
      <c r="B29" s="507" t="s">
        <v>238</v>
      </c>
      <c r="C29" s="521">
        <v>0</v>
      </c>
      <c r="D29" s="522">
        <f>C30+C31*C29</f>
        <v>0</v>
      </c>
      <c r="E29" s="507" t="s">
        <v>239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4"/>
      <c r="B30" s="507" t="s">
        <v>240</v>
      </c>
      <c r="C30" s="505">
        <v>0</v>
      </c>
      <c r="D30" s="522"/>
      <c r="E30" s="465" t="s">
        <v>237</v>
      </c>
      <c r="F30" s="523">
        <v>0.3</v>
      </c>
      <c r="G30" s="553"/>
      <c r="H30" s="527"/>
    </row>
    <row r="31" spans="1:9" x14ac:dyDescent="0.2">
      <c r="A31" s="2014"/>
      <c r="B31" s="545" t="s">
        <v>235</v>
      </c>
      <c r="C31" s="507">
        <v>0</v>
      </c>
      <c r="D31" s="522"/>
      <c r="E31" s="507" t="s">
        <v>236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241</v>
      </c>
      <c r="F32" s="560">
        <v>0.05</v>
      </c>
      <c r="G32" s="561"/>
      <c r="H32" s="562"/>
    </row>
    <row r="33" spans="1:9" ht="16.5" thickBot="1" x14ac:dyDescent="0.25">
      <c r="A33" s="563"/>
      <c r="B33" s="2007" t="s">
        <v>242</v>
      </c>
      <c r="C33" s="2008"/>
      <c r="D33" s="2008"/>
      <c r="E33" s="2008"/>
      <c r="F33" s="2008"/>
      <c r="G33" s="2009"/>
      <c r="H33" s="564">
        <f>SUM(H23:H30)</f>
        <v>0</v>
      </c>
      <c r="I33" s="565"/>
    </row>
    <row r="34" spans="1:9" x14ac:dyDescent="0.2">
      <c r="A34" s="2010" t="s">
        <v>243</v>
      </c>
      <c r="B34" s="2011"/>
      <c r="C34" s="2011"/>
      <c r="D34" s="2011"/>
      <c r="E34" s="2011"/>
      <c r="F34" s="2011"/>
      <c r="G34" s="2011"/>
      <c r="H34" s="2012"/>
    </row>
    <row r="35" spans="1:9" ht="31.5" x14ac:dyDescent="0.2">
      <c r="A35" s="2013">
        <v>2</v>
      </c>
      <c r="B35" s="533" t="s">
        <v>244</v>
      </c>
      <c r="C35" s="534">
        <v>0</v>
      </c>
      <c r="D35" s="535">
        <f>C36+C37*C35</f>
        <v>0</v>
      </c>
      <c r="E35" s="536" t="s">
        <v>245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4"/>
      <c r="B36" s="507" t="s">
        <v>233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4"/>
      <c r="B37" s="545" t="s">
        <v>235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4"/>
      <c r="B38" s="517" t="s">
        <v>226</v>
      </c>
      <c r="C38" s="518"/>
      <c r="D38" s="195"/>
      <c r="E38" s="192"/>
      <c r="F38" s="194"/>
      <c r="G38" s="519"/>
      <c r="H38" s="520"/>
    </row>
    <row r="39" spans="1:9" ht="31.5" x14ac:dyDescent="0.2">
      <c r="A39" s="2014"/>
      <c r="B39" s="507" t="s">
        <v>238</v>
      </c>
      <c r="C39" s="521">
        <v>0</v>
      </c>
      <c r="D39" s="522">
        <f>C40+C41*C39</f>
        <v>0</v>
      </c>
      <c r="E39" s="507" t="s">
        <v>245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4"/>
      <c r="B40" s="507" t="s">
        <v>246</v>
      </c>
      <c r="C40" s="505">
        <v>0</v>
      </c>
      <c r="D40" s="522"/>
      <c r="E40" s="465" t="s">
        <v>247</v>
      </c>
      <c r="F40" s="523">
        <v>0.2</v>
      </c>
      <c r="G40" s="553"/>
      <c r="H40" s="527"/>
    </row>
    <row r="41" spans="1:9" ht="16.5" thickBot="1" x14ac:dyDescent="0.25">
      <c r="A41" s="2014"/>
      <c r="B41" s="545" t="s">
        <v>235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2007" t="s">
        <v>248</v>
      </c>
      <c r="C42" s="2008"/>
      <c r="D42" s="2008"/>
      <c r="E42" s="2008"/>
      <c r="F42" s="2008"/>
      <c r="G42" s="2009"/>
      <c r="H42" s="564">
        <f>SUM(H34:H40)</f>
        <v>0</v>
      </c>
      <c r="I42" s="565"/>
    </row>
    <row r="43" spans="1:9" s="69" customFormat="1" ht="16.5" thickBot="1" x14ac:dyDescent="0.25">
      <c r="A43" s="1995" t="s">
        <v>249</v>
      </c>
      <c r="B43" s="1865"/>
      <c r="C43" s="1865"/>
      <c r="D43" s="1865"/>
      <c r="E43" s="1865"/>
      <c r="F43" s="1865"/>
      <c r="G43" s="1865"/>
      <c r="H43" s="1866"/>
    </row>
    <row r="44" spans="1:9" s="30" customFormat="1" ht="47.25" x14ac:dyDescent="0.2">
      <c r="A44" s="2004">
        <v>3</v>
      </c>
      <c r="B44" s="566" t="s">
        <v>250</v>
      </c>
      <c r="C44" s="567">
        <v>0</v>
      </c>
      <c r="D44" s="500">
        <f>C45+C44*C46</f>
        <v>0</v>
      </c>
      <c r="E44" s="568" t="s">
        <v>251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2005"/>
      <c r="B45" s="477" t="s">
        <v>224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2005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2005"/>
      <c r="B47" s="577" t="s">
        <v>252</v>
      </c>
      <c r="C47" s="348">
        <v>0</v>
      </c>
      <c r="D47" s="198">
        <f>C48+C47*C49</f>
        <v>0</v>
      </c>
      <c r="E47" s="191" t="s">
        <v>253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2005"/>
      <c r="B48" s="581" t="s">
        <v>254</v>
      </c>
      <c r="C48" s="467">
        <v>0</v>
      </c>
      <c r="D48" s="582"/>
      <c r="E48" s="2021" t="s">
        <v>255</v>
      </c>
      <c r="F48" s="583"/>
      <c r="G48" s="584"/>
      <c r="H48" s="585"/>
    </row>
    <row r="49" spans="1:12" s="580" customFormat="1" ht="25.5" customHeight="1" thickBot="1" x14ac:dyDescent="0.25">
      <c r="A49" s="2006"/>
      <c r="B49" s="586" t="s">
        <v>12</v>
      </c>
      <c r="C49" s="587">
        <v>0</v>
      </c>
      <c r="D49" s="588"/>
      <c r="E49" s="2022"/>
      <c r="F49" s="589"/>
      <c r="G49" s="530"/>
      <c r="H49" s="590"/>
    </row>
    <row r="50" spans="1:12" s="30" customFormat="1" ht="16.5" thickBot="1" x14ac:dyDescent="0.25">
      <c r="A50" s="532"/>
      <c r="B50" s="112" t="s">
        <v>256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23" t="s">
        <v>257</v>
      </c>
      <c r="B51" s="2024"/>
      <c r="C51" s="2024"/>
      <c r="D51" s="2024"/>
      <c r="E51" s="2024"/>
      <c r="F51" s="2024"/>
      <c r="G51" s="2024"/>
      <c r="H51" s="2025"/>
    </row>
    <row r="52" spans="1:12" s="54" customFormat="1" ht="47.25" x14ac:dyDescent="0.2">
      <c r="A52" s="2026">
        <v>4</v>
      </c>
      <c r="B52" s="594" t="s">
        <v>258</v>
      </c>
      <c r="C52" s="595">
        <v>0</v>
      </c>
      <c r="D52" s="596">
        <f>ROUND((C53+C54*C52),2)</f>
        <v>0</v>
      </c>
      <c r="E52" s="501" t="s">
        <v>259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27"/>
      <c r="B53" s="599" t="s">
        <v>260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27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27"/>
      <c r="B55" s="612" t="s">
        <v>261</v>
      </c>
      <c r="C55" s="613"/>
      <c r="D55" s="614">
        <f>ROUND((C56+C57*C55),2)</f>
        <v>0</v>
      </c>
      <c r="E55" s="615" t="s">
        <v>262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27"/>
      <c r="B56" s="581" t="s">
        <v>254</v>
      </c>
      <c r="C56" s="600">
        <v>0</v>
      </c>
      <c r="D56" s="601"/>
      <c r="E56" s="620" t="s">
        <v>263</v>
      </c>
      <c r="F56" s="621">
        <v>2</v>
      </c>
      <c r="G56" s="604"/>
      <c r="H56" s="525"/>
    </row>
    <row r="57" spans="1:12" s="54" customFormat="1" x14ac:dyDescent="0.2">
      <c r="A57" s="2027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27"/>
      <c r="B58" s="517" t="s">
        <v>264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27"/>
      <c r="B59" s="477" t="s">
        <v>265</v>
      </c>
      <c r="C59" s="622">
        <v>0</v>
      </c>
      <c r="D59" s="623">
        <f>C60+C59*C61</f>
        <v>0</v>
      </c>
      <c r="E59" s="476" t="s">
        <v>266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27"/>
      <c r="B60" s="581" t="s">
        <v>254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27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267</v>
      </c>
      <c r="C62" s="637">
        <v>0</v>
      </c>
      <c r="D62" s="601">
        <f>ROUND((C63+C64*C62),2)</f>
        <v>0</v>
      </c>
      <c r="E62" s="191" t="s">
        <v>253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260</v>
      </c>
      <c r="C63" s="600">
        <v>0</v>
      </c>
      <c r="D63" s="601"/>
      <c r="E63" s="638" t="s">
        <v>255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268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10" t="s">
        <v>269</v>
      </c>
      <c r="B66" s="2011"/>
      <c r="C66" s="2011"/>
      <c r="D66" s="2011"/>
      <c r="E66" s="2011"/>
      <c r="F66" s="2011"/>
      <c r="G66" s="2011"/>
      <c r="H66" s="2012"/>
    </row>
    <row r="67" spans="1:9" ht="47.25" x14ac:dyDescent="0.2">
      <c r="A67" s="2013">
        <v>2</v>
      </c>
      <c r="B67" s="533" t="s">
        <v>270</v>
      </c>
      <c r="C67" s="534">
        <v>0</v>
      </c>
      <c r="D67" s="535">
        <f>C68+C69*C67</f>
        <v>0</v>
      </c>
      <c r="E67" s="536" t="s">
        <v>271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4"/>
      <c r="B68" s="507" t="s">
        <v>233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4"/>
      <c r="B69" s="545" t="s">
        <v>235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4"/>
      <c r="B70" s="533" t="s">
        <v>272</v>
      </c>
      <c r="C70" s="534">
        <v>0</v>
      </c>
      <c r="D70" s="535">
        <f>C71+C72*C70</f>
        <v>0</v>
      </c>
      <c r="E70" s="536" t="s">
        <v>271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4"/>
      <c r="B71" s="507" t="s">
        <v>273</v>
      </c>
      <c r="C71" s="505">
        <v>0</v>
      </c>
      <c r="D71" s="540"/>
      <c r="E71" s="507" t="s">
        <v>236</v>
      </c>
      <c r="F71" s="523">
        <v>1</v>
      </c>
      <c r="G71" s="543"/>
      <c r="H71" s="544"/>
    </row>
    <row r="72" spans="1:9" ht="47.25" x14ac:dyDescent="0.2">
      <c r="A72" s="2014"/>
      <c r="B72" s="545" t="s">
        <v>235</v>
      </c>
      <c r="C72" s="507">
        <v>0</v>
      </c>
      <c r="D72" s="522"/>
      <c r="E72" s="549" t="s">
        <v>274</v>
      </c>
      <c r="F72" s="550">
        <v>0.5</v>
      </c>
      <c r="G72" s="524"/>
      <c r="H72" s="546"/>
    </row>
    <row r="73" spans="1:9" ht="15.75" customHeight="1" x14ac:dyDescent="0.2">
      <c r="A73" s="2014"/>
      <c r="B73" s="475" t="s">
        <v>226</v>
      </c>
      <c r="C73" s="648"/>
      <c r="D73" s="649"/>
      <c r="E73" s="85"/>
      <c r="F73" s="83"/>
      <c r="G73" s="650"/>
      <c r="H73" s="651"/>
    </row>
    <row r="74" spans="1:9" ht="31.5" x14ac:dyDescent="0.2">
      <c r="A74" s="2014"/>
      <c r="B74" s="507" t="s">
        <v>275</v>
      </c>
      <c r="C74" s="521">
        <v>0</v>
      </c>
      <c r="D74" s="522">
        <f>C75+C76*C74</f>
        <v>0</v>
      </c>
      <c r="E74" s="507" t="s">
        <v>271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4"/>
      <c r="B75" s="507" t="s">
        <v>276</v>
      </c>
      <c r="C75" s="505">
        <v>0</v>
      </c>
      <c r="D75" s="522"/>
      <c r="E75" s="465" t="s">
        <v>247</v>
      </c>
      <c r="F75" s="523">
        <v>0.05</v>
      </c>
      <c r="G75" s="553"/>
      <c r="H75" s="527"/>
    </row>
    <row r="76" spans="1:9" x14ac:dyDescent="0.2">
      <c r="A76" s="2014"/>
      <c r="B76" s="652" t="s">
        <v>235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4"/>
      <c r="B77" s="465" t="s">
        <v>277</v>
      </c>
      <c r="C77" s="521">
        <v>0</v>
      </c>
      <c r="D77" s="522">
        <f>C78+C79*C77</f>
        <v>0</v>
      </c>
      <c r="E77" s="507" t="s">
        <v>271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4"/>
      <c r="B78" s="507" t="s">
        <v>273</v>
      </c>
      <c r="C78" s="505">
        <v>0</v>
      </c>
      <c r="D78" s="522"/>
      <c r="E78" s="507" t="s">
        <v>236</v>
      </c>
      <c r="F78" s="523">
        <v>1</v>
      </c>
      <c r="G78" s="543"/>
      <c r="H78" s="544"/>
    </row>
    <row r="79" spans="1:9" ht="47.25" x14ac:dyDescent="0.2">
      <c r="A79" s="2014"/>
      <c r="B79" s="545" t="s">
        <v>235</v>
      </c>
      <c r="C79" s="507">
        <v>0</v>
      </c>
      <c r="D79" s="522"/>
      <c r="E79" s="465" t="s">
        <v>274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241</v>
      </c>
      <c r="F80" s="560">
        <v>0.05</v>
      </c>
      <c r="G80" s="561"/>
      <c r="H80" s="562"/>
    </row>
    <row r="81" spans="1:12" ht="16.5" thickBot="1" x14ac:dyDescent="0.25">
      <c r="A81" s="563"/>
      <c r="B81" s="2007" t="s">
        <v>278</v>
      </c>
      <c r="C81" s="2008"/>
      <c r="D81" s="2008"/>
      <c r="E81" s="2008"/>
      <c r="F81" s="2008"/>
      <c r="G81" s="2009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279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2015" t="s">
        <v>280</v>
      </c>
      <c r="C83" s="2016"/>
      <c r="D83" s="2016"/>
      <c r="E83" s="2016"/>
      <c r="F83" s="2016"/>
      <c r="G83" s="2016"/>
      <c r="H83" s="2017"/>
    </row>
    <row r="84" spans="1:12" s="54" customFormat="1" ht="22.5" customHeight="1" thickBot="1" x14ac:dyDescent="0.25">
      <c r="A84" s="655"/>
      <c r="B84" s="656" t="s">
        <v>281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2018" t="s">
        <v>282</v>
      </c>
      <c r="C85" s="2019"/>
      <c r="D85" s="2020"/>
      <c r="E85" s="661" t="s">
        <v>283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284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A6:H6"/>
    <mergeCell ref="A7:H7"/>
    <mergeCell ref="A10:H10"/>
    <mergeCell ref="A11:H11"/>
    <mergeCell ref="A8:H8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31" t="s">
        <v>550</v>
      </c>
      <c r="B4" s="2031"/>
      <c r="C4" s="2031"/>
      <c r="D4" s="2031"/>
      <c r="E4" s="2031"/>
      <c r="F4" s="2031"/>
      <c r="G4" s="2031"/>
    </row>
    <row r="5" spans="1:32" ht="48" customHeight="1" x14ac:dyDescent="0.25">
      <c r="A5" s="2032" t="str">
        <f>' ССР (нов)'!A6:G6</f>
        <v xml:space="preserve">Перекладка теплового ввода </v>
      </c>
      <c r="B5" s="2033"/>
      <c r="C5" s="2034"/>
      <c r="D5" s="2034"/>
      <c r="E5" s="2034"/>
      <c r="F5" s="2034"/>
      <c r="G5" s="2034"/>
      <c r="Z5" s="2035"/>
      <c r="AA5" s="2036"/>
      <c r="AB5" s="2035"/>
      <c r="AC5" s="2035"/>
      <c r="AD5" s="2035"/>
      <c r="AE5" s="2035"/>
      <c r="AF5" s="2035"/>
    </row>
    <row r="6" spans="1:32" ht="23.25" customHeight="1" x14ac:dyDescent="0.25">
      <c r="A6" s="2037" t="str">
        <f>' ССР (нов)'!A7:G7</f>
        <v>г. Москва , ул. Гамалеи д.11к.1</v>
      </c>
      <c r="B6" s="2031"/>
      <c r="C6" s="2031"/>
      <c r="D6" s="2031"/>
      <c r="E6" s="2031"/>
      <c r="F6" s="2031"/>
      <c r="G6" s="2031"/>
      <c r="H6" s="715"/>
    </row>
    <row r="7" spans="1:32" ht="63.75" customHeight="1" thickBot="1" x14ac:dyDescent="0.3">
      <c r="A7" s="2038" t="s">
        <v>633</v>
      </c>
      <c r="B7" s="2039"/>
      <c r="C7" s="2040"/>
      <c r="D7" s="2040"/>
      <c r="E7" s="2040"/>
      <c r="F7" s="2040"/>
      <c r="G7" s="2040"/>
      <c r="H7" s="1416" t="s">
        <v>632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28" t="s">
        <v>304</v>
      </c>
      <c r="C8" s="2029"/>
      <c r="D8" s="2029"/>
      <c r="E8" s="2029"/>
      <c r="F8" s="2029"/>
      <c r="G8" s="2030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41" t="s">
        <v>305</v>
      </c>
      <c r="C9" s="2042"/>
      <c r="D9" s="719"/>
      <c r="E9" s="2041" t="s">
        <v>306</v>
      </c>
      <c r="F9" s="2043"/>
      <c r="G9" s="720" t="s">
        <v>307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308</v>
      </c>
      <c r="C10" s="723"/>
      <c r="D10" s="722" t="s">
        <v>309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310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4">
        <v>1</v>
      </c>
      <c r="B12" s="731" t="s">
        <v>311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45"/>
      <c r="B13" s="737" t="s">
        <v>312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45"/>
      <c r="B14" s="742" t="s">
        <v>313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45"/>
      <c r="B15" s="745" t="s">
        <v>314</v>
      </c>
      <c r="C15" s="746"/>
      <c r="D15" s="746"/>
      <c r="E15" s="747" t="s">
        <v>315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45"/>
      <c r="B16" s="750" t="s">
        <v>316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45"/>
      <c r="B17" s="754" t="s">
        <v>317</v>
      </c>
      <c r="C17" s="755"/>
      <c r="D17" s="755"/>
      <c r="E17" s="754" t="s">
        <v>306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45"/>
      <c r="B18" s="757" t="s">
        <v>318</v>
      </c>
      <c r="C18" s="758"/>
      <c r="D18" s="758"/>
      <c r="E18" s="757" t="s">
        <v>319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45"/>
      <c r="B19" s="757" t="s">
        <v>320</v>
      </c>
      <c r="C19" s="758"/>
      <c r="D19" s="758"/>
      <c r="E19" s="757" t="s">
        <v>321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45"/>
      <c r="B20" s="2047" t="s">
        <v>322</v>
      </c>
      <c r="C20" s="2048"/>
      <c r="D20" s="2049"/>
      <c r="E20" s="764" t="s">
        <v>323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45"/>
      <c r="B21" s="747" t="s">
        <v>324</v>
      </c>
      <c r="C21" s="769"/>
      <c r="D21" s="769"/>
      <c r="E21" s="747" t="s">
        <v>325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45"/>
      <c r="B22" s="747" t="s">
        <v>326</v>
      </c>
      <c r="C22" s="769"/>
      <c r="D22" s="769"/>
      <c r="E22" s="747" t="s">
        <v>327</v>
      </c>
      <c r="F22" s="770"/>
      <c r="G22" s="749"/>
      <c r="H22" s="771"/>
      <c r="I22" s="771"/>
      <c r="J22" s="771"/>
    </row>
    <row r="23" spans="1:11" s="717" customFormat="1" x14ac:dyDescent="0.25">
      <c r="A23" s="2045"/>
      <c r="B23" s="772" t="s">
        <v>328</v>
      </c>
      <c r="C23" s="773"/>
      <c r="D23" s="773"/>
      <c r="E23" s="772" t="s">
        <v>329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45"/>
      <c r="B24" s="747" t="s">
        <v>330</v>
      </c>
      <c r="C24" s="769"/>
      <c r="D24" s="769"/>
      <c r="E24" s="747" t="s">
        <v>331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45"/>
      <c r="B25" s="778" t="s">
        <v>332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45"/>
      <c r="B26" s="2050" t="s">
        <v>333</v>
      </c>
      <c r="C26" s="2051"/>
      <c r="D26" s="2052"/>
      <c r="E26" s="747" t="s">
        <v>334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45"/>
      <c r="B27" s="2050" t="s">
        <v>335</v>
      </c>
      <c r="C27" s="2051"/>
      <c r="D27" s="2052"/>
      <c r="E27" s="747" t="s">
        <v>336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45"/>
      <c r="B28" s="2050" t="s">
        <v>337</v>
      </c>
      <c r="C28" s="2051"/>
      <c r="D28" s="2052"/>
      <c r="E28" s="747" t="s">
        <v>338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45"/>
      <c r="B29" s="2053" t="s">
        <v>339</v>
      </c>
      <c r="C29" s="2054"/>
      <c r="D29" s="2055"/>
      <c r="E29" s="747" t="s">
        <v>340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45"/>
      <c r="B30" s="764" t="s">
        <v>341</v>
      </c>
      <c r="C30" s="782"/>
      <c r="D30" s="782"/>
      <c r="E30" s="747" t="s">
        <v>342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45"/>
      <c r="B31" s="764" t="s">
        <v>343</v>
      </c>
      <c r="C31" s="784"/>
      <c r="D31" s="784"/>
      <c r="E31" s="747" t="s">
        <v>344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45"/>
      <c r="B32" s="764" t="s">
        <v>345</v>
      </c>
      <c r="C32" s="782"/>
      <c r="D32" s="782"/>
      <c r="E32" s="747" t="s">
        <v>346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45"/>
      <c r="B33" s="785" t="s">
        <v>347</v>
      </c>
      <c r="C33" s="785"/>
      <c r="D33" s="786"/>
      <c r="E33" s="747" t="s">
        <v>348</v>
      </c>
      <c r="F33" s="787"/>
      <c r="G33" s="780">
        <f>0.107*0</f>
        <v>0</v>
      </c>
      <c r="H33" s="788" t="s">
        <v>349</v>
      </c>
      <c r="I33" s="789"/>
      <c r="J33" s="789"/>
    </row>
    <row r="34" spans="1:12" s="717" customFormat="1" ht="16.5" hidden="1" customHeight="1" x14ac:dyDescent="0.25">
      <c r="A34" s="2045"/>
      <c r="B34" s="764" t="s">
        <v>350</v>
      </c>
      <c r="C34" s="782"/>
      <c r="D34" s="782"/>
      <c r="E34" s="747" t="s">
        <v>351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45"/>
      <c r="B35" s="790" t="s">
        <v>352</v>
      </c>
      <c r="C35" s="784"/>
      <c r="D35" s="784"/>
      <c r="E35" s="747" t="s">
        <v>353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45"/>
      <c r="B36" s="791" t="s">
        <v>328</v>
      </c>
      <c r="C36" s="746"/>
      <c r="D36" s="746"/>
      <c r="E36" s="791" t="s">
        <v>354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45"/>
      <c r="B37" s="791" t="s">
        <v>355</v>
      </c>
      <c r="C37" s="746"/>
      <c r="D37" s="746"/>
      <c r="E37" s="745" t="s">
        <v>356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45"/>
      <c r="B38" s="795" t="s">
        <v>357</v>
      </c>
      <c r="C38" s="796"/>
      <c r="D38" s="796"/>
      <c r="E38" s="795" t="s">
        <v>358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46"/>
      <c r="B39" s="799" t="s">
        <v>359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360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45"/>
      <c r="B41" s="757" t="s">
        <v>318</v>
      </c>
      <c r="C41" s="758"/>
      <c r="D41" s="758"/>
      <c r="E41" s="757" t="s">
        <v>319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45"/>
      <c r="B42" s="813" t="s">
        <v>320</v>
      </c>
      <c r="C42" s="814"/>
      <c r="D42" s="814"/>
      <c r="E42" s="813" t="s">
        <v>321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45"/>
      <c r="B43" s="816" t="s">
        <v>361</v>
      </c>
      <c r="C43" s="817"/>
      <c r="D43" s="817"/>
      <c r="E43" s="816" t="s">
        <v>323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45"/>
      <c r="B44" s="813" t="s">
        <v>324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45"/>
      <c r="B45" s="819" t="s">
        <v>362</v>
      </c>
      <c r="C45" s="820"/>
      <c r="D45" s="820"/>
      <c r="E45" s="821" t="s">
        <v>363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45"/>
      <c r="B46" s="824" t="s">
        <v>328</v>
      </c>
      <c r="C46" s="825"/>
      <c r="D46" s="825"/>
      <c r="E46" s="824" t="s">
        <v>329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45"/>
      <c r="B47" s="2058" t="s">
        <v>330</v>
      </c>
      <c r="C47" s="2059"/>
      <c r="D47" s="828"/>
      <c r="E47" s="829" t="s">
        <v>364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45"/>
      <c r="B48" s="833" t="s">
        <v>332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45"/>
      <c r="B49" s="2060" t="s">
        <v>365</v>
      </c>
      <c r="C49" s="2061"/>
      <c r="D49" s="2061"/>
      <c r="E49" s="757" t="s">
        <v>366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45"/>
      <c r="B50" s="2060" t="s">
        <v>333</v>
      </c>
      <c r="C50" s="2061"/>
      <c r="D50" s="2061"/>
      <c r="E50" s="757" t="s">
        <v>367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45"/>
      <c r="B51" s="757" t="s">
        <v>368</v>
      </c>
      <c r="C51" s="758"/>
      <c r="D51" s="758"/>
      <c r="E51" s="757" t="s">
        <v>369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45"/>
      <c r="B52" s="757" t="s">
        <v>370</v>
      </c>
      <c r="C52" s="758"/>
      <c r="D52" s="758"/>
      <c r="E52" s="757" t="s">
        <v>371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45"/>
      <c r="B53" s="757" t="s">
        <v>372</v>
      </c>
      <c r="C53" s="758"/>
      <c r="D53" s="758"/>
      <c r="E53" s="757" t="s">
        <v>373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45"/>
      <c r="B54" s="747" t="s">
        <v>374</v>
      </c>
      <c r="C54" s="769"/>
      <c r="D54" s="769"/>
      <c r="E54" s="747" t="s">
        <v>375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45"/>
      <c r="B55" s="2062" t="s">
        <v>376</v>
      </c>
      <c r="C55" s="2063"/>
      <c r="D55" s="2064"/>
      <c r="E55" s="747" t="s">
        <v>377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45"/>
      <c r="B56" s="838" t="s">
        <v>328</v>
      </c>
      <c r="C56" s="839"/>
      <c r="D56" s="839"/>
      <c r="E56" s="838" t="s">
        <v>354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45"/>
      <c r="B57" s="838" t="s">
        <v>378</v>
      </c>
      <c r="C57" s="839"/>
      <c r="D57" s="839"/>
      <c r="E57" s="843" t="s">
        <v>379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45"/>
      <c r="B58" s="757" t="s">
        <v>380</v>
      </c>
      <c r="C58" s="758"/>
      <c r="D58" s="758"/>
      <c r="E58" s="757" t="s">
        <v>381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46"/>
      <c r="B59" s="846" t="s">
        <v>382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383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44">
        <v>3</v>
      </c>
      <c r="B61" s="855" t="s">
        <v>384</v>
      </c>
      <c r="C61" s="856"/>
      <c r="D61" s="856"/>
      <c r="E61" s="857" t="s">
        <v>385</v>
      </c>
      <c r="F61" s="858" t="s">
        <v>386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45"/>
      <c r="B62" s="862" t="s">
        <v>387</v>
      </c>
      <c r="C62" s="863"/>
      <c r="D62" s="863"/>
      <c r="E62" s="864"/>
      <c r="F62" s="865" t="s">
        <v>388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45"/>
      <c r="B63" s="869"/>
      <c r="C63" s="870"/>
      <c r="D63" s="870"/>
      <c r="E63" s="871"/>
      <c r="F63" s="872" t="s">
        <v>389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45"/>
      <c r="B64" s="874" t="s">
        <v>390</v>
      </c>
      <c r="C64" s="736"/>
      <c r="D64" s="875"/>
      <c r="E64" s="876" t="s">
        <v>391</v>
      </c>
      <c r="F64" s="759" t="s">
        <v>392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45"/>
      <c r="B65" s="879"/>
      <c r="C65" s="736"/>
      <c r="D65" s="736"/>
      <c r="E65" s="880"/>
      <c r="F65" s="840" t="s">
        <v>388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45"/>
      <c r="B66" s="745"/>
      <c r="C66" s="746"/>
      <c r="D66" s="746"/>
      <c r="E66" s="881"/>
      <c r="F66" s="882" t="s">
        <v>389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45"/>
      <c r="B67" s="883" t="s">
        <v>393</v>
      </c>
      <c r="C67" s="884"/>
      <c r="D67" s="884"/>
      <c r="E67" s="885" t="s">
        <v>394</v>
      </c>
      <c r="F67" s="886" t="s">
        <v>395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45"/>
      <c r="B68" s="883" t="s">
        <v>396</v>
      </c>
      <c r="C68" s="884"/>
      <c r="D68" s="884"/>
      <c r="E68" s="885"/>
      <c r="F68" s="886" t="s">
        <v>388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45"/>
      <c r="B69" s="891"/>
      <c r="C69" s="892"/>
      <c r="D69" s="884"/>
      <c r="E69" s="893" t="s">
        <v>397</v>
      </c>
      <c r="F69" s="886" t="s">
        <v>389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45"/>
      <c r="B70" s="2067" t="s">
        <v>398</v>
      </c>
      <c r="C70" s="2068"/>
      <c r="D70" s="2069"/>
      <c r="E70" s="894" t="s">
        <v>399</v>
      </c>
      <c r="F70" s="759" t="s">
        <v>400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45"/>
      <c r="B71" s="2070"/>
      <c r="C71" s="2071"/>
      <c r="D71" s="2072"/>
      <c r="E71" s="895" t="s">
        <v>401</v>
      </c>
      <c r="F71" s="759" t="s">
        <v>402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45"/>
      <c r="B72" s="2073"/>
      <c r="C72" s="2074"/>
      <c r="D72" s="2075"/>
      <c r="E72" s="896" t="str">
        <f>CONCATENATE(G70,"*",G71,"*1,15*",G60,"=")</f>
        <v>10*96,08*1,15*1,1=</v>
      </c>
      <c r="F72" s="897" t="s">
        <v>389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45"/>
      <c r="B73" s="899" t="s">
        <v>404</v>
      </c>
      <c r="C73" s="900"/>
      <c r="D73" s="901"/>
      <c r="E73" s="902" t="s">
        <v>405</v>
      </c>
      <c r="F73" s="903" t="s">
        <v>400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45"/>
      <c r="B74" s="904" t="s">
        <v>406</v>
      </c>
      <c r="C74" s="905"/>
      <c r="D74" s="906"/>
      <c r="E74" s="902"/>
      <c r="F74" s="903" t="s">
        <v>407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45"/>
      <c r="B75" s="907"/>
      <c r="C75" s="908"/>
      <c r="D75" s="886"/>
      <c r="E75" s="909" t="s">
        <v>408</v>
      </c>
      <c r="F75" s="886" t="s">
        <v>389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45"/>
      <c r="B76" s="2067" t="s">
        <v>409</v>
      </c>
      <c r="C76" s="2068"/>
      <c r="D76" s="2069"/>
      <c r="E76" s="910" t="s">
        <v>410</v>
      </c>
      <c r="F76" s="911" t="s">
        <v>411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45"/>
      <c r="B77" s="2070"/>
      <c r="C77" s="2071"/>
      <c r="D77" s="2072"/>
      <c r="E77" s="895" t="s">
        <v>401</v>
      </c>
      <c r="F77" s="840" t="s">
        <v>388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45"/>
      <c r="B78" s="2073"/>
      <c r="C78" s="2074"/>
      <c r="D78" s="2075"/>
      <c r="E78" s="896" t="str">
        <f>CONCATENATE(G76,"*",G77,"*1,15*",G60,"=")</f>
        <v>3*72,45*1,15*1,1=</v>
      </c>
      <c r="F78" s="897" t="s">
        <v>389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5"/>
      <c r="B79" s="2076" t="s">
        <v>412</v>
      </c>
      <c r="C79" s="2077"/>
      <c r="D79" s="2078"/>
      <c r="E79" s="912" t="s">
        <v>413</v>
      </c>
      <c r="F79" s="913" t="s">
        <v>395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5"/>
      <c r="B80" s="2079"/>
      <c r="C80" s="2080"/>
      <c r="D80" s="2081"/>
      <c r="E80" s="915" t="s">
        <v>397</v>
      </c>
      <c r="F80" s="916" t="s">
        <v>402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5"/>
      <c r="B81" s="2082"/>
      <c r="C81" s="2083"/>
      <c r="D81" s="2084"/>
      <c r="E81" s="918" t="str">
        <f>CONCATENATE(G79,"*",G80,"*",G60,"=")</f>
        <v>0*119,13*1,1=</v>
      </c>
      <c r="F81" s="872" t="s">
        <v>389</v>
      </c>
      <c r="G81" s="919">
        <f>ROUND(G79*G80*G60*1.15,0)</f>
        <v>0</v>
      </c>
      <c r="H81" s="898" t="s">
        <v>403</v>
      </c>
      <c r="I81" s="888"/>
      <c r="J81" s="888"/>
    </row>
    <row r="82" spans="1:32" s="889" customFormat="1" ht="17.25" hidden="1" customHeight="1" x14ac:dyDescent="0.25">
      <c r="A82" s="2065"/>
      <c r="B82" s="2085" t="s">
        <v>414</v>
      </c>
      <c r="C82" s="2086"/>
      <c r="D82" s="2087"/>
      <c r="E82" s="920" t="s">
        <v>415</v>
      </c>
      <c r="F82" s="903" t="s">
        <v>395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5"/>
      <c r="B83" s="2088"/>
      <c r="C83" s="2089"/>
      <c r="D83" s="2090"/>
      <c r="E83" s="893" t="s">
        <v>397</v>
      </c>
      <c r="F83" s="886" t="s">
        <v>402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5"/>
      <c r="B84" s="2091"/>
      <c r="C84" s="2092"/>
      <c r="D84" s="2093"/>
      <c r="E84" s="923" t="str">
        <f>CONCATENATE(G82,"*",G83,"*",G60,"=")</f>
        <v>0*424,71*1,1=</v>
      </c>
      <c r="F84" s="886" t="s">
        <v>389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5"/>
      <c r="B85" s="2085" t="s">
        <v>416</v>
      </c>
      <c r="C85" s="2086"/>
      <c r="D85" s="2087"/>
      <c r="E85" s="920" t="s">
        <v>417</v>
      </c>
      <c r="F85" s="903" t="s">
        <v>418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5"/>
      <c r="B86" s="2088"/>
      <c r="C86" s="2089"/>
      <c r="D86" s="2090"/>
      <c r="E86" s="893" t="s">
        <v>397</v>
      </c>
      <c r="F86" s="886" t="s">
        <v>388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5"/>
      <c r="B87" s="2091"/>
      <c r="C87" s="2092"/>
      <c r="D87" s="2093"/>
      <c r="E87" s="923" t="str">
        <f>CONCATENATE(G85,"*",G86,"*",G60,"=")</f>
        <v>0*509,65*1,1=</v>
      </c>
      <c r="F87" s="886" t="s">
        <v>389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5"/>
      <c r="B88" s="2094" t="s">
        <v>419</v>
      </c>
      <c r="C88" s="2095"/>
      <c r="D88" s="2096"/>
      <c r="E88" s="912" t="s">
        <v>420</v>
      </c>
      <c r="F88" s="913" t="s">
        <v>395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5"/>
      <c r="B89" s="2097"/>
      <c r="C89" s="2098"/>
      <c r="D89" s="2099"/>
      <c r="E89" s="915" t="s">
        <v>397</v>
      </c>
      <c r="F89" s="916" t="s">
        <v>402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5"/>
      <c r="B90" s="2100"/>
      <c r="C90" s="2101"/>
      <c r="D90" s="2102"/>
      <c r="E90" s="918" t="str">
        <f>CONCATENATE(G88,"*",G89,"*1,15*",G60,"=")</f>
        <v>0*503,65*1,15*1,1=</v>
      </c>
      <c r="F90" s="872" t="s">
        <v>389</v>
      </c>
      <c r="G90" s="873">
        <f>ROUND(G88*G89*G60*1.15,2)</f>
        <v>0</v>
      </c>
      <c r="H90" s="898" t="s">
        <v>403</v>
      </c>
      <c r="I90" s="888"/>
      <c r="J90" s="888"/>
    </row>
    <row r="91" spans="1:32" s="762" customFormat="1" ht="23.25" hidden="1" customHeight="1" x14ac:dyDescent="0.2">
      <c r="A91" s="2065"/>
      <c r="B91" s="757" t="s">
        <v>421</v>
      </c>
      <c r="C91" s="758"/>
      <c r="D91" s="759"/>
      <c r="E91" s="924" t="s">
        <v>422</v>
      </c>
      <c r="F91" s="925" t="s">
        <v>423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5"/>
      <c r="B92" s="2067" t="s">
        <v>424</v>
      </c>
      <c r="C92" s="2068"/>
      <c r="D92" s="2069"/>
      <c r="E92" s="2103" t="s">
        <v>425</v>
      </c>
      <c r="F92" s="2105" t="s">
        <v>426</v>
      </c>
      <c r="G92" s="2056">
        <f>5161</f>
        <v>5161</v>
      </c>
      <c r="H92" s="771"/>
      <c r="I92" s="771"/>
      <c r="J92" s="771"/>
    </row>
    <row r="93" spans="1:32" s="717" customFormat="1" ht="17.25" customHeight="1" x14ac:dyDescent="0.25">
      <c r="A93" s="2065"/>
      <c r="B93" s="2073"/>
      <c r="C93" s="2074"/>
      <c r="D93" s="2075"/>
      <c r="E93" s="2104"/>
      <c r="F93" s="2106"/>
      <c r="G93" s="2057"/>
      <c r="H93" s="771"/>
      <c r="I93" s="771"/>
      <c r="J93" s="771"/>
    </row>
    <row r="94" spans="1:32" s="929" customFormat="1" ht="17.25" customHeight="1" thickBot="1" x14ac:dyDescent="0.3">
      <c r="A94" s="2065"/>
      <c r="B94" s="750" t="s">
        <v>427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6"/>
      <c r="B95" s="930" t="s">
        <v>428</v>
      </c>
      <c r="C95" s="875"/>
      <c r="D95" s="875"/>
      <c r="E95" s="875" t="s">
        <v>429</v>
      </c>
      <c r="F95" s="830" t="s">
        <v>430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107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108"/>
      <c r="D96" s="2108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308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310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44">
        <v>1</v>
      </c>
      <c r="B99" s="731" t="s">
        <v>311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45"/>
      <c r="B100" s="737" t="s">
        <v>312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45"/>
      <c r="B101" s="742" t="s">
        <v>313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45"/>
      <c r="B102" s="745" t="s">
        <v>314</v>
      </c>
      <c r="C102" s="746"/>
      <c r="D102" s="746"/>
      <c r="E102" s="747" t="s">
        <v>315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45"/>
      <c r="B103" s="750" t="s">
        <v>316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45"/>
      <c r="B104" s="754" t="s">
        <v>317</v>
      </c>
      <c r="C104" s="755"/>
      <c r="D104" s="755"/>
      <c r="E104" s="754" t="s">
        <v>306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45"/>
      <c r="B105" s="757" t="s">
        <v>318</v>
      </c>
      <c r="C105" s="758"/>
      <c r="D105" s="758"/>
      <c r="E105" s="757" t="s">
        <v>319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45"/>
      <c r="B106" s="757" t="s">
        <v>320</v>
      </c>
      <c r="C106" s="758"/>
      <c r="D106" s="758"/>
      <c r="E106" s="757" t="s">
        <v>321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45"/>
      <c r="B107" s="2047" t="s">
        <v>322</v>
      </c>
      <c r="C107" s="2048"/>
      <c r="D107" s="2049"/>
      <c r="E107" s="764" t="s">
        <v>323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45"/>
      <c r="B108" s="747" t="s">
        <v>324</v>
      </c>
      <c r="C108" s="769"/>
      <c r="D108" s="769"/>
      <c r="E108" s="747" t="s">
        <v>431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45"/>
      <c r="B109" s="747" t="s">
        <v>326</v>
      </c>
      <c r="C109" s="769"/>
      <c r="D109" s="769"/>
      <c r="E109" s="747" t="s">
        <v>327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45"/>
      <c r="B110" s="772" t="s">
        <v>328</v>
      </c>
      <c r="C110" s="773"/>
      <c r="D110" s="773"/>
      <c r="E110" s="772" t="s">
        <v>329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45"/>
      <c r="B111" s="747" t="s">
        <v>330</v>
      </c>
      <c r="C111" s="769"/>
      <c r="D111" s="769"/>
      <c r="E111" s="747" t="s">
        <v>331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45"/>
      <c r="B112" s="778" t="s">
        <v>332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45"/>
      <c r="B113" s="2050" t="s">
        <v>333</v>
      </c>
      <c r="C113" s="2051"/>
      <c r="D113" s="2052"/>
      <c r="E113" s="747" t="s">
        <v>334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45"/>
      <c r="B114" s="2050" t="s">
        <v>335</v>
      </c>
      <c r="C114" s="2051"/>
      <c r="D114" s="2052"/>
      <c r="E114" s="747" t="s">
        <v>336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45"/>
      <c r="B115" s="2050" t="s">
        <v>337</v>
      </c>
      <c r="C115" s="2051"/>
      <c r="D115" s="2052"/>
      <c r="E115" s="747" t="s">
        <v>338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45"/>
      <c r="B116" s="2053" t="s">
        <v>339</v>
      </c>
      <c r="C116" s="2054"/>
      <c r="D116" s="2055"/>
      <c r="E116" s="747" t="s">
        <v>340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45"/>
      <c r="B117" s="764" t="s">
        <v>341</v>
      </c>
      <c r="C117" s="782"/>
      <c r="D117" s="782"/>
      <c r="E117" s="747" t="s">
        <v>342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45"/>
      <c r="B118" s="764" t="s">
        <v>343</v>
      </c>
      <c r="C118" s="784"/>
      <c r="D118" s="784"/>
      <c r="E118" s="747" t="s">
        <v>344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45"/>
      <c r="B119" s="764" t="s">
        <v>345</v>
      </c>
      <c r="C119" s="782"/>
      <c r="D119" s="782"/>
      <c r="E119" s="747" t="s">
        <v>346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45"/>
      <c r="B120" s="785" t="s">
        <v>347</v>
      </c>
      <c r="C120" s="785"/>
      <c r="D120" s="786"/>
      <c r="E120" s="747" t="s">
        <v>348</v>
      </c>
      <c r="F120" s="787"/>
      <c r="G120" s="780">
        <f>0.107*0</f>
        <v>0</v>
      </c>
      <c r="H120" s="788" t="s">
        <v>349</v>
      </c>
      <c r="I120" s="789"/>
      <c r="J120" s="789"/>
    </row>
    <row r="121" spans="1:12" s="717" customFormat="1" ht="16.5" hidden="1" customHeight="1" x14ac:dyDescent="0.25">
      <c r="A121" s="2045"/>
      <c r="B121" s="764" t="s">
        <v>350</v>
      </c>
      <c r="C121" s="782"/>
      <c r="D121" s="782"/>
      <c r="E121" s="747" t="s">
        <v>351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45"/>
      <c r="B122" s="790" t="s">
        <v>352</v>
      </c>
      <c r="C122" s="784"/>
      <c r="D122" s="784"/>
      <c r="E122" s="747" t="s">
        <v>353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45"/>
      <c r="B123" s="791" t="s">
        <v>328</v>
      </c>
      <c r="C123" s="746"/>
      <c r="D123" s="746"/>
      <c r="E123" s="791" t="s">
        <v>354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45"/>
      <c r="B124" s="791" t="s">
        <v>355</v>
      </c>
      <c r="C124" s="746"/>
      <c r="D124" s="746"/>
      <c r="E124" s="745" t="s">
        <v>356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45"/>
      <c r="B125" s="795" t="s">
        <v>357</v>
      </c>
      <c r="C125" s="796"/>
      <c r="D125" s="796"/>
      <c r="E125" s="795" t="s">
        <v>358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46"/>
      <c r="B126" s="799" t="s">
        <v>359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360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45"/>
      <c r="B128" s="757" t="s">
        <v>318</v>
      </c>
      <c r="C128" s="758"/>
      <c r="D128" s="758"/>
      <c r="E128" s="757" t="s">
        <v>319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45"/>
      <c r="B129" s="813" t="s">
        <v>320</v>
      </c>
      <c r="C129" s="814"/>
      <c r="D129" s="814"/>
      <c r="E129" s="813" t="s">
        <v>321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45"/>
      <c r="B130" s="816" t="s">
        <v>361</v>
      </c>
      <c r="C130" s="817"/>
      <c r="D130" s="817"/>
      <c r="E130" s="816" t="s">
        <v>323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45"/>
      <c r="B131" s="813" t="s">
        <v>324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45"/>
      <c r="B132" s="819" t="s">
        <v>362</v>
      </c>
      <c r="C132" s="820"/>
      <c r="D132" s="820"/>
      <c r="E132" s="821" t="s">
        <v>363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45"/>
      <c r="B133" s="824" t="s">
        <v>328</v>
      </c>
      <c r="C133" s="825"/>
      <c r="D133" s="825"/>
      <c r="E133" s="824" t="s">
        <v>329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45"/>
      <c r="B134" s="2058" t="s">
        <v>330</v>
      </c>
      <c r="C134" s="2059"/>
      <c r="D134" s="828"/>
      <c r="E134" s="829" t="s">
        <v>364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45"/>
      <c r="B135" s="833" t="s">
        <v>332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45"/>
      <c r="B136" s="2060" t="s">
        <v>365</v>
      </c>
      <c r="C136" s="2061"/>
      <c r="D136" s="2061"/>
      <c r="E136" s="757" t="s">
        <v>366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45"/>
      <c r="B137" s="2060" t="s">
        <v>333</v>
      </c>
      <c r="C137" s="2061"/>
      <c r="D137" s="2061"/>
      <c r="E137" s="757" t="s">
        <v>367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45"/>
      <c r="B138" s="757" t="s">
        <v>368</v>
      </c>
      <c r="C138" s="758"/>
      <c r="D138" s="758"/>
      <c r="E138" s="757" t="s">
        <v>369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45"/>
      <c r="B139" s="757" t="s">
        <v>370</v>
      </c>
      <c r="C139" s="758"/>
      <c r="D139" s="758"/>
      <c r="E139" s="757" t="s">
        <v>371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45"/>
      <c r="B140" s="757" t="s">
        <v>372</v>
      </c>
      <c r="C140" s="758"/>
      <c r="D140" s="758"/>
      <c r="E140" s="757" t="s">
        <v>373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45"/>
      <c r="B141" s="747" t="s">
        <v>374</v>
      </c>
      <c r="C141" s="769"/>
      <c r="D141" s="769"/>
      <c r="E141" s="747" t="s">
        <v>375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45"/>
      <c r="B142" s="2062" t="s">
        <v>376</v>
      </c>
      <c r="C142" s="2063"/>
      <c r="D142" s="2064"/>
      <c r="E142" s="747" t="s">
        <v>377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45"/>
      <c r="B143" s="838" t="s">
        <v>328</v>
      </c>
      <c r="C143" s="839"/>
      <c r="D143" s="839"/>
      <c r="E143" s="838" t="s">
        <v>354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45"/>
      <c r="B144" s="838" t="s">
        <v>378</v>
      </c>
      <c r="C144" s="839"/>
      <c r="D144" s="839"/>
      <c r="E144" s="843" t="s">
        <v>379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45"/>
      <c r="B145" s="757" t="s">
        <v>380</v>
      </c>
      <c r="C145" s="758"/>
      <c r="D145" s="758"/>
      <c r="E145" s="757" t="s">
        <v>381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46"/>
      <c r="B146" s="846" t="s">
        <v>382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383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44">
        <v>3</v>
      </c>
      <c r="B148" s="855" t="s">
        <v>384</v>
      </c>
      <c r="C148" s="856"/>
      <c r="D148" s="856"/>
      <c r="E148" s="857" t="s">
        <v>385</v>
      </c>
      <c r="F148" s="858" t="s">
        <v>386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45"/>
      <c r="B149" s="862" t="s">
        <v>387</v>
      </c>
      <c r="C149" s="863"/>
      <c r="D149" s="863"/>
      <c r="E149" s="864"/>
      <c r="F149" s="865" t="s">
        <v>388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45"/>
      <c r="B150" s="869"/>
      <c r="C150" s="870"/>
      <c r="D150" s="870"/>
      <c r="E150" s="871"/>
      <c r="F150" s="872" t="s">
        <v>389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45"/>
      <c r="B151" s="874" t="s">
        <v>390</v>
      </c>
      <c r="C151" s="736"/>
      <c r="D151" s="875"/>
      <c r="E151" s="876" t="s">
        <v>391</v>
      </c>
      <c r="F151" s="759" t="s">
        <v>392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45"/>
      <c r="B152" s="879"/>
      <c r="C152" s="736"/>
      <c r="D152" s="736"/>
      <c r="E152" s="880"/>
      <c r="F152" s="840" t="s">
        <v>388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45"/>
      <c r="B153" s="745"/>
      <c r="C153" s="746"/>
      <c r="D153" s="746"/>
      <c r="E153" s="881"/>
      <c r="F153" s="882" t="s">
        <v>389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45"/>
      <c r="B154" s="883" t="s">
        <v>393</v>
      </c>
      <c r="C154" s="884"/>
      <c r="D154" s="884"/>
      <c r="E154" s="885" t="s">
        <v>394</v>
      </c>
      <c r="F154" s="886" t="s">
        <v>395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45"/>
      <c r="B155" s="883" t="s">
        <v>396</v>
      </c>
      <c r="C155" s="884"/>
      <c r="D155" s="884"/>
      <c r="E155" s="885"/>
      <c r="F155" s="886" t="s">
        <v>388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45"/>
      <c r="B156" s="891"/>
      <c r="C156" s="892"/>
      <c r="D156" s="884"/>
      <c r="E156" s="893" t="s">
        <v>397</v>
      </c>
      <c r="F156" s="886" t="s">
        <v>389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45"/>
      <c r="B157" s="2067" t="s">
        <v>432</v>
      </c>
      <c r="C157" s="2068"/>
      <c r="D157" s="2069"/>
      <c r="E157" s="894" t="s">
        <v>399</v>
      </c>
      <c r="F157" s="759" t="s">
        <v>400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45"/>
      <c r="B158" s="2070"/>
      <c r="C158" s="2071"/>
      <c r="D158" s="2072"/>
      <c r="E158" s="895" t="s">
        <v>401</v>
      </c>
      <c r="F158" s="759" t="s">
        <v>402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45"/>
      <c r="B159" s="2073"/>
      <c r="C159" s="2074"/>
      <c r="D159" s="2075"/>
      <c r="E159" s="896" t="str">
        <f>CONCATENATE(G157,"*",G158,"*1,15*",G147,"=")</f>
        <v>20*96,08*1,15*1,1=</v>
      </c>
      <c r="F159" s="897" t="s">
        <v>389</v>
      </c>
      <c r="G159" s="831">
        <f>ROUND(G157*G158*G147*1.15,2)</f>
        <v>2430.8200000000002</v>
      </c>
      <c r="H159" s="898" t="s">
        <v>403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45"/>
      <c r="B160" s="899" t="s">
        <v>404</v>
      </c>
      <c r="C160" s="900"/>
      <c r="D160" s="901"/>
      <c r="E160" s="902" t="s">
        <v>405</v>
      </c>
      <c r="F160" s="903" t="s">
        <v>400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45"/>
      <c r="B161" s="904" t="s">
        <v>406</v>
      </c>
      <c r="C161" s="905"/>
      <c r="D161" s="906"/>
      <c r="E161" s="902"/>
      <c r="F161" s="903" t="s">
        <v>407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45"/>
      <c r="B162" s="907"/>
      <c r="C162" s="908"/>
      <c r="D162" s="886"/>
      <c r="E162" s="909" t="s">
        <v>408</v>
      </c>
      <c r="F162" s="886" t="s">
        <v>389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45"/>
      <c r="B163" s="2067" t="s">
        <v>409</v>
      </c>
      <c r="C163" s="2068"/>
      <c r="D163" s="2069"/>
      <c r="E163" s="910" t="s">
        <v>410</v>
      </c>
      <c r="F163" s="911" t="s">
        <v>411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45"/>
      <c r="B164" s="2070"/>
      <c r="C164" s="2071"/>
      <c r="D164" s="2072"/>
      <c r="E164" s="895" t="s">
        <v>401</v>
      </c>
      <c r="F164" s="840" t="s">
        <v>388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45"/>
      <c r="B165" s="2073"/>
      <c r="C165" s="2074"/>
      <c r="D165" s="2075"/>
      <c r="E165" s="896" t="str">
        <f>CONCATENATE(G163,"*",G164,"*1,15*",G147,"=")</f>
        <v>3*72,45*1,15*1,1=</v>
      </c>
      <c r="F165" s="897" t="s">
        <v>389</v>
      </c>
      <c r="G165" s="831">
        <f>ROUND(G163*G164*G147*1.15,2)</f>
        <v>274.95</v>
      </c>
      <c r="H165" s="898" t="s">
        <v>403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5"/>
      <c r="B166" s="2076" t="s">
        <v>412</v>
      </c>
      <c r="C166" s="2077"/>
      <c r="D166" s="2078"/>
      <c r="E166" s="912" t="s">
        <v>413</v>
      </c>
      <c r="F166" s="913" t="s">
        <v>395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5"/>
      <c r="B167" s="2079"/>
      <c r="C167" s="2080"/>
      <c r="D167" s="2081"/>
      <c r="E167" s="915" t="s">
        <v>397</v>
      </c>
      <c r="F167" s="916" t="s">
        <v>402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5"/>
      <c r="B168" s="2082"/>
      <c r="C168" s="2083"/>
      <c r="D168" s="2084"/>
      <c r="E168" s="918" t="str">
        <f>CONCATENATE(G166,"*",G167,"*1,15*",G147,"=")</f>
        <v>0*119,13*1,15*1,1=</v>
      </c>
      <c r="F168" s="872" t="s">
        <v>389</v>
      </c>
      <c r="G168" s="919">
        <f>ROUND(G166*G167*G147*1.15,2)</f>
        <v>0</v>
      </c>
      <c r="H168" s="898" t="s">
        <v>403</v>
      </c>
      <c r="I168" s="888"/>
      <c r="J168" s="888"/>
    </row>
    <row r="169" spans="1:10" s="889" customFormat="1" ht="17.25" hidden="1" customHeight="1" x14ac:dyDescent="0.25">
      <c r="A169" s="2065"/>
      <c r="B169" s="2085" t="s">
        <v>414</v>
      </c>
      <c r="C169" s="2086"/>
      <c r="D169" s="2087"/>
      <c r="E169" s="920" t="s">
        <v>415</v>
      </c>
      <c r="F169" s="903" t="s">
        <v>395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5"/>
      <c r="B170" s="2088"/>
      <c r="C170" s="2089"/>
      <c r="D170" s="2090"/>
      <c r="E170" s="893" t="s">
        <v>397</v>
      </c>
      <c r="F170" s="886" t="s">
        <v>402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5"/>
      <c r="B171" s="2091"/>
      <c r="C171" s="2092"/>
      <c r="D171" s="2093"/>
      <c r="E171" s="923" t="str">
        <f>CONCATENATE(G169,"*",G170,"*",G147,"=")</f>
        <v>0*424,71*1,1=</v>
      </c>
      <c r="F171" s="886" t="s">
        <v>389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5"/>
      <c r="B172" s="2085" t="s">
        <v>416</v>
      </c>
      <c r="C172" s="2086"/>
      <c r="D172" s="2087"/>
      <c r="E172" s="920" t="s">
        <v>417</v>
      </c>
      <c r="F172" s="903" t="s">
        <v>418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5"/>
      <c r="B173" s="2088"/>
      <c r="C173" s="2089"/>
      <c r="D173" s="2090"/>
      <c r="E173" s="893" t="s">
        <v>397</v>
      </c>
      <c r="F173" s="886" t="s">
        <v>388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5"/>
      <c r="B174" s="2091"/>
      <c r="C174" s="2092"/>
      <c r="D174" s="2093"/>
      <c r="E174" s="923" t="str">
        <f>CONCATENATE(G172,"*",G173,"*",G147,"=")</f>
        <v>0*509,65*1,1=</v>
      </c>
      <c r="F174" s="886" t="s">
        <v>389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5"/>
      <c r="B175" s="2094" t="s">
        <v>419</v>
      </c>
      <c r="C175" s="2095"/>
      <c r="D175" s="2096"/>
      <c r="E175" s="912" t="s">
        <v>420</v>
      </c>
      <c r="F175" s="913" t="s">
        <v>395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5"/>
      <c r="B176" s="2097"/>
      <c r="C176" s="2098"/>
      <c r="D176" s="2099"/>
      <c r="E176" s="915" t="s">
        <v>397</v>
      </c>
      <c r="F176" s="916" t="s">
        <v>402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5"/>
      <c r="B177" s="2100"/>
      <c r="C177" s="2101"/>
      <c r="D177" s="2102"/>
      <c r="E177" s="918" t="str">
        <f>CONCATENATE(G175,"*",G176,"*1,15*",G147,"=")</f>
        <v>0*503,65*1,15*1,1=</v>
      </c>
      <c r="F177" s="872" t="s">
        <v>389</v>
      </c>
      <c r="G177" s="919">
        <f>ROUND(G175*G176*G147*1.15,0)</f>
        <v>0</v>
      </c>
      <c r="H177" s="898" t="s">
        <v>403</v>
      </c>
      <c r="I177" s="888"/>
      <c r="J177" s="888"/>
    </row>
    <row r="178" spans="1:32" s="762" customFormat="1" ht="23.25" hidden="1" customHeight="1" x14ac:dyDescent="0.2">
      <c r="A178" s="2065"/>
      <c r="B178" s="757" t="s">
        <v>421</v>
      </c>
      <c r="C178" s="758"/>
      <c r="D178" s="759"/>
      <c r="E178" s="924" t="s">
        <v>422</v>
      </c>
      <c r="F178" s="925" t="s">
        <v>423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5"/>
      <c r="B179" s="2067" t="s">
        <v>424</v>
      </c>
      <c r="C179" s="2068"/>
      <c r="D179" s="2069"/>
      <c r="E179" s="2103" t="s">
        <v>425</v>
      </c>
      <c r="F179" s="2105" t="s">
        <v>426</v>
      </c>
      <c r="G179" s="2109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5"/>
      <c r="B180" s="2073"/>
      <c r="C180" s="2074"/>
      <c r="D180" s="2075"/>
      <c r="E180" s="2104"/>
      <c r="F180" s="2106"/>
      <c r="G180" s="2110"/>
      <c r="H180" s="771"/>
      <c r="I180" s="771"/>
      <c r="J180" s="771"/>
    </row>
    <row r="181" spans="1:32" s="929" customFormat="1" ht="17.25" hidden="1" customHeight="1" x14ac:dyDescent="0.25">
      <c r="A181" s="2065"/>
      <c r="B181" s="750" t="s">
        <v>427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6"/>
      <c r="B182" s="930" t="s">
        <v>428</v>
      </c>
      <c r="C182" s="875"/>
      <c r="D182" s="875"/>
      <c r="E182" s="875" t="s">
        <v>429</v>
      </c>
      <c r="F182" s="830" t="s">
        <v>430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107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108"/>
      <c r="D183" s="2108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557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183:D183"/>
    <mergeCell ref="B172:D174"/>
    <mergeCell ref="B175:D177"/>
    <mergeCell ref="B179:D180"/>
    <mergeCell ref="E179:E180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96:D96"/>
    <mergeCell ref="A99:A126"/>
    <mergeCell ref="B107:D107"/>
    <mergeCell ref="B113:D113"/>
    <mergeCell ref="B114:D114"/>
    <mergeCell ref="B115:D115"/>
    <mergeCell ref="B116:D116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:C9"/>
    <mergeCell ref="E9:F9"/>
    <mergeCell ref="A12:A39"/>
    <mergeCell ref="B20:D20"/>
    <mergeCell ref="B26:D26"/>
    <mergeCell ref="B27:D27"/>
    <mergeCell ref="B28:D28"/>
    <mergeCell ref="B29:D29"/>
    <mergeCell ref="B8:G8"/>
    <mergeCell ref="A4:G4"/>
    <mergeCell ref="A5:G5"/>
    <mergeCell ref="Z5:AF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67" t="s">
        <v>551</v>
      </c>
      <c r="B4" s="1867"/>
      <c r="C4" s="1867"/>
      <c r="D4" s="1867"/>
      <c r="E4" s="1867"/>
      <c r="F4" s="1867"/>
      <c r="G4" s="1867"/>
      <c r="H4" s="1867"/>
      <c r="I4" s="1867"/>
      <c r="J4" s="1867"/>
      <c r="K4" s="1867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67"/>
      <c r="C5" s="1867"/>
      <c r="D5" s="1867"/>
      <c r="E5" s="1867"/>
      <c r="F5" s="1867"/>
      <c r="G5" s="1867"/>
      <c r="H5" s="1867"/>
      <c r="I5" s="1867"/>
      <c r="J5" s="1867"/>
      <c r="K5" s="1867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11" t="str">
        <f>' ССР (нов)'!A6:G6</f>
        <v xml:space="preserve">Перекладка теплового ввода </v>
      </c>
      <c r="B6" s="2112"/>
      <c r="C6" s="2112"/>
      <c r="D6" s="2112"/>
      <c r="E6" s="2112"/>
      <c r="F6" s="2112"/>
      <c r="G6" s="2112"/>
      <c r="H6" s="2112"/>
      <c r="I6" s="2112"/>
      <c r="J6" s="2112"/>
      <c r="K6" s="2112"/>
      <c r="L6" s="964" t="s">
        <v>433</v>
      </c>
      <c r="M6" s="58"/>
      <c r="N6" s="58"/>
      <c r="O6" s="58"/>
      <c r="P6" s="58"/>
      <c r="Q6" s="58"/>
      <c r="R6" s="58"/>
      <c r="S6" s="58"/>
      <c r="AA6" s="2112"/>
      <c r="AB6" s="2113"/>
      <c r="AC6" s="2112"/>
      <c r="AD6" s="2112"/>
      <c r="AE6" s="2112"/>
      <c r="AF6" s="2112"/>
      <c r="AG6" s="2112"/>
    </row>
    <row r="7" spans="1:33" s="69" customFormat="1" ht="27" customHeight="1" x14ac:dyDescent="0.25">
      <c r="A7" s="2114" t="str">
        <f>' ССР (нов)'!A7:G7</f>
        <v>г. Москва , ул. Гамалеи д.11к.1</v>
      </c>
      <c r="B7" s="1867"/>
      <c r="C7" s="1867"/>
      <c r="D7" s="1867"/>
      <c r="E7" s="1867"/>
      <c r="F7" s="1867"/>
      <c r="G7" s="1867"/>
      <c r="H7" s="1867"/>
      <c r="I7" s="1867"/>
      <c r="J7" s="1867"/>
      <c r="K7" s="1867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23" t="s">
        <v>634</v>
      </c>
      <c r="C8" s="2123"/>
      <c r="D8" s="2123"/>
      <c r="E8" s="2123"/>
      <c r="F8" s="2123"/>
      <c r="G8" s="2123"/>
      <c r="H8" s="2123"/>
      <c r="I8" s="2123"/>
      <c r="J8" s="2123"/>
      <c r="K8" s="2123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81"/>
      <c r="C9" s="1881"/>
      <c r="D9" s="1881"/>
      <c r="E9" s="1881"/>
      <c r="F9" s="1881"/>
      <c r="G9" s="1881"/>
      <c r="H9" s="1881"/>
      <c r="I9" s="1881"/>
      <c r="J9" s="1881"/>
      <c r="K9" s="1881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15" t="s">
        <v>434</v>
      </c>
      <c r="C11" s="2116"/>
      <c r="D11" s="2116"/>
      <c r="E11" s="2116"/>
      <c r="F11" s="2116"/>
      <c r="G11" s="2116"/>
      <c r="H11" s="2116"/>
      <c r="I11" s="2116"/>
      <c r="J11" s="2116"/>
      <c r="K11" s="2117"/>
      <c r="L11" s="970"/>
    </row>
    <row r="12" spans="1:33" ht="4.5" customHeight="1" thickBot="1" x14ac:dyDescent="0.3">
      <c r="B12" s="2118"/>
      <c r="C12" s="2119"/>
      <c r="D12" s="2119"/>
      <c r="E12" s="2119"/>
      <c r="F12" s="2119"/>
      <c r="G12" s="2119"/>
      <c r="H12" s="2119"/>
      <c r="I12" s="2119"/>
      <c r="J12" s="2119"/>
      <c r="K12" s="2120"/>
      <c r="L12" s="961"/>
    </row>
    <row r="13" spans="1:33" s="971" customFormat="1" ht="44.25" customHeight="1" thickBot="1" x14ac:dyDescent="0.25">
      <c r="B13" s="972" t="s">
        <v>435</v>
      </c>
      <c r="C13" s="2121" t="s">
        <v>32</v>
      </c>
      <c r="D13" s="2122"/>
      <c r="E13" s="2122"/>
      <c r="F13" s="973" t="s">
        <v>436</v>
      </c>
      <c r="G13" s="974" t="s">
        <v>437</v>
      </c>
      <c r="H13" s="974" t="s">
        <v>438</v>
      </c>
      <c r="I13" s="973" t="s">
        <v>439</v>
      </c>
      <c r="J13" s="973" t="s">
        <v>0</v>
      </c>
      <c r="K13" s="975" t="s">
        <v>440</v>
      </c>
      <c r="L13" s="976"/>
    </row>
    <row r="14" spans="1:33" ht="18.75" x14ac:dyDescent="0.3">
      <c r="B14" s="977"/>
      <c r="C14" s="2124" t="s">
        <v>441</v>
      </c>
      <c r="D14" s="2124"/>
      <c r="E14" s="2124"/>
      <c r="F14" s="2124"/>
      <c r="G14" s="2124"/>
      <c r="H14" s="978"/>
      <c r="I14" s="979"/>
      <c r="J14" s="980"/>
      <c r="K14" s="981"/>
      <c r="L14" s="982"/>
    </row>
    <row r="15" spans="1:33" ht="21" hidden="1" customHeight="1" x14ac:dyDescent="0.3">
      <c r="B15" s="2125" t="s">
        <v>442</v>
      </c>
      <c r="C15" s="2128" t="str">
        <f>CONCATENATE("Проходка шурфов глубиной ",H15, "м,II категории породы.")</f>
        <v>Проходка шурфов глубиной 7м,II категории породы.</v>
      </c>
      <c r="D15" s="2129"/>
      <c r="E15" s="2130"/>
      <c r="F15" s="983" t="s">
        <v>443</v>
      </c>
      <c r="G15" s="984" t="s">
        <v>444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445</v>
      </c>
      <c r="M15" s="990"/>
    </row>
    <row r="16" spans="1:33" ht="42" hidden="1" customHeight="1" x14ac:dyDescent="0.3">
      <c r="B16" s="2126"/>
      <c r="C16" s="2131"/>
      <c r="D16" s="2132"/>
      <c r="E16" s="2133"/>
      <c r="F16" s="991" t="s">
        <v>446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26"/>
      <c r="C17" s="2134"/>
      <c r="D17" s="2135"/>
      <c r="E17" s="2136"/>
      <c r="F17" s="998" t="s">
        <v>447</v>
      </c>
      <c r="G17" s="992" t="s">
        <v>448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26"/>
      <c r="C18" s="2128" t="str">
        <f>CONCATENATE("Проходка шурфов глубиной ",H18, "м,II категории породы.")</f>
        <v>Проходка шурфов глубиной 5м,II категории породы.</v>
      </c>
      <c r="D18" s="2129"/>
      <c r="E18" s="2130"/>
      <c r="F18" s="983" t="s">
        <v>449</v>
      </c>
      <c r="G18" s="984" t="s">
        <v>444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450</v>
      </c>
      <c r="M18" s="990"/>
    </row>
    <row r="19" spans="2:13" ht="42.75" customHeight="1" x14ac:dyDescent="0.3">
      <c r="B19" s="2126"/>
      <c r="C19" s="2131"/>
      <c r="D19" s="2132"/>
      <c r="E19" s="2133"/>
      <c r="F19" s="991" t="s">
        <v>446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26"/>
      <c r="C20" s="2134"/>
      <c r="D20" s="2135"/>
      <c r="E20" s="2136"/>
      <c r="F20" s="998" t="s">
        <v>447</v>
      </c>
      <c r="G20" s="1002" t="s">
        <v>448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26"/>
      <c r="C21" s="2128" t="str">
        <f>CONCATENATE("Проходка шурфов глубиной ",H21, "м,II категории породы.")</f>
        <v>Проходка шурфов глубиной 2м,II категории породы.</v>
      </c>
      <c r="D21" s="2129"/>
      <c r="E21" s="2130"/>
      <c r="F21" s="983" t="s">
        <v>449</v>
      </c>
      <c r="G21" s="984" t="s">
        <v>444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451</v>
      </c>
      <c r="M21" s="990"/>
    </row>
    <row r="22" spans="2:13" ht="42.75" hidden="1" customHeight="1" x14ac:dyDescent="0.3">
      <c r="B22" s="2126"/>
      <c r="C22" s="2131"/>
      <c r="D22" s="2132"/>
      <c r="E22" s="2133"/>
      <c r="F22" s="991" t="s">
        <v>446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27"/>
      <c r="C23" s="2134"/>
      <c r="D23" s="2135"/>
      <c r="E23" s="2136"/>
      <c r="F23" s="998" t="s">
        <v>447</v>
      </c>
      <c r="G23" s="1002" t="s">
        <v>448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25">
        <v>2</v>
      </c>
      <c r="C24" s="2137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38"/>
      <c r="E24" s="2139"/>
      <c r="F24" s="1008" t="s">
        <v>452</v>
      </c>
      <c r="G24" s="1009" t="s">
        <v>444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445</v>
      </c>
    </row>
    <row r="25" spans="2:13" ht="36.75" customHeight="1" x14ac:dyDescent="0.25">
      <c r="B25" s="2126"/>
      <c r="C25" s="2137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38"/>
      <c r="E25" s="2139"/>
      <c r="F25" s="1008" t="s">
        <v>453</v>
      </c>
      <c r="G25" s="1009" t="s">
        <v>444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450</v>
      </c>
    </row>
    <row r="26" spans="2:13" ht="36.75" hidden="1" customHeight="1" x14ac:dyDescent="0.25">
      <c r="B26" s="2127"/>
      <c r="C26" s="2137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38"/>
      <c r="E26" s="2139"/>
      <c r="F26" s="1008" t="s">
        <v>453</v>
      </c>
      <c r="G26" s="1009" t="s">
        <v>444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454</v>
      </c>
    </row>
    <row r="27" spans="2:13" ht="27" customHeight="1" x14ac:dyDescent="0.2">
      <c r="B27" s="2140">
        <v>3</v>
      </c>
      <c r="C27" s="2142" t="s">
        <v>455</v>
      </c>
      <c r="D27" s="2143"/>
      <c r="E27" s="2144"/>
      <c r="F27" s="1018" t="s">
        <v>456</v>
      </c>
      <c r="G27" s="1019" t="s">
        <v>457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41"/>
      <c r="C28" s="2145"/>
      <c r="D28" s="2146"/>
      <c r="E28" s="2147"/>
      <c r="F28" s="1024" t="s">
        <v>458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60" t="s">
        <v>459</v>
      </c>
      <c r="D29" s="2161"/>
      <c r="E29" s="2162"/>
      <c r="F29" s="1018" t="s">
        <v>456</v>
      </c>
      <c r="G29" s="1009" t="s">
        <v>457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7" t="s">
        <v>460</v>
      </c>
      <c r="D30" s="2138"/>
      <c r="E30" s="2139"/>
      <c r="F30" s="1008" t="s">
        <v>461</v>
      </c>
      <c r="G30" s="1009" t="s">
        <v>462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463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63" t="s">
        <v>464</v>
      </c>
      <c r="D32" s="2163"/>
      <c r="E32" s="2163"/>
      <c r="F32" s="1040" t="s">
        <v>465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64" t="s">
        <v>466</v>
      </c>
      <c r="D33" s="2164"/>
      <c r="E33" s="2165"/>
      <c r="F33" s="1044" t="s">
        <v>467</v>
      </c>
      <c r="G33" s="1045" t="s">
        <v>468</v>
      </c>
      <c r="H33" s="1046">
        <v>18.75</v>
      </c>
      <c r="I33" s="1047"/>
      <c r="J33" s="1048"/>
      <c r="K33" s="1049">
        <f>ROUND(K32*(1+H33/100),2)</f>
        <v>750.68</v>
      </c>
      <c r="L33" s="1050" t="s">
        <v>469</v>
      </c>
    </row>
    <row r="34" spans="2:18" ht="18" customHeight="1" x14ac:dyDescent="0.25">
      <c r="B34" s="2140">
        <v>6</v>
      </c>
      <c r="C34" s="2167" t="s">
        <v>470</v>
      </c>
      <c r="D34" s="2168"/>
      <c r="E34" s="2169"/>
      <c r="F34" s="1051" t="s">
        <v>471</v>
      </c>
      <c r="G34" s="1052" t="s">
        <v>468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66"/>
      <c r="C35" s="2170"/>
      <c r="D35" s="2171"/>
      <c r="E35" s="2172"/>
      <c r="F35" s="1056" t="s">
        <v>472</v>
      </c>
      <c r="G35" s="1057"/>
      <c r="H35" s="1058">
        <v>2.5</v>
      </c>
      <c r="I35" s="1057"/>
      <c r="J35" s="1057"/>
      <c r="K35" s="1059"/>
      <c r="L35" s="1050" t="s">
        <v>469</v>
      </c>
    </row>
    <row r="36" spans="2:18" ht="16.5" thickBot="1" x14ac:dyDescent="0.3">
      <c r="B36" s="1060"/>
      <c r="C36" s="1061" t="s">
        <v>473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474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73" t="s">
        <v>475</v>
      </c>
      <c r="D38" s="2174"/>
      <c r="E38" s="2175"/>
      <c r="F38" s="1070" t="s">
        <v>476</v>
      </c>
      <c r="G38" s="984" t="s">
        <v>448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477</v>
      </c>
    </row>
    <row r="39" spans="2:18" s="485" customFormat="1" ht="43.5" hidden="1" customHeight="1" x14ac:dyDescent="0.2">
      <c r="B39" s="1069"/>
      <c r="C39" s="2173" t="s">
        <v>475</v>
      </c>
      <c r="D39" s="2174"/>
      <c r="E39" s="2175"/>
      <c r="F39" s="1070" t="s">
        <v>478</v>
      </c>
      <c r="G39" s="984" t="s">
        <v>448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477</v>
      </c>
    </row>
    <row r="40" spans="2:18" s="485" customFormat="1" ht="46.5" hidden="1" customHeight="1" thickBot="1" x14ac:dyDescent="0.25">
      <c r="B40" s="1069"/>
      <c r="C40" s="2173" t="s">
        <v>479</v>
      </c>
      <c r="D40" s="2174"/>
      <c r="E40" s="2175"/>
      <c r="F40" s="1070" t="s">
        <v>480</v>
      </c>
      <c r="G40" s="984" t="s">
        <v>448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477</v>
      </c>
    </row>
    <row r="41" spans="2:18" ht="16.5" thickBot="1" x14ac:dyDescent="0.3">
      <c r="B41" s="1073"/>
      <c r="C41" s="2176" t="s">
        <v>481</v>
      </c>
      <c r="D41" s="2177"/>
      <c r="E41" s="2177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482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78" t="s">
        <v>483</v>
      </c>
      <c r="D43" s="2179"/>
      <c r="E43" s="2180"/>
      <c r="F43" s="1077" t="s">
        <v>484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48">
        <v>9</v>
      </c>
      <c r="C44" s="2151" t="s">
        <v>485</v>
      </c>
      <c r="D44" s="2152"/>
      <c r="E44" s="2153"/>
      <c r="F44" s="1083" t="s">
        <v>486</v>
      </c>
      <c r="G44" s="1084" t="s">
        <v>444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49"/>
      <c r="C45" s="2154"/>
      <c r="D45" s="2155"/>
      <c r="E45" s="2156"/>
      <c r="F45" s="991" t="s">
        <v>487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50"/>
      <c r="C46" s="2157"/>
      <c r="D46" s="2158"/>
      <c r="E46" s="2159"/>
      <c r="F46" s="991" t="s">
        <v>488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78" t="s">
        <v>489</v>
      </c>
      <c r="D47" s="2179"/>
      <c r="E47" s="2180"/>
      <c r="F47" s="1077" t="s">
        <v>490</v>
      </c>
      <c r="G47" s="1078" t="s">
        <v>468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82" t="s">
        <v>491</v>
      </c>
      <c r="D48" s="2183"/>
      <c r="E48" s="2184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67" t="s">
        <v>492</v>
      </c>
      <c r="D49" s="2168"/>
      <c r="E49" s="2169"/>
      <c r="F49" s="1083" t="s">
        <v>493</v>
      </c>
      <c r="G49" s="1045" t="s">
        <v>468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469</v>
      </c>
    </row>
    <row r="50" spans="2:12" s="485" customFormat="1" ht="33.75" customHeight="1" thickBot="1" x14ac:dyDescent="0.25">
      <c r="B50" s="1111"/>
      <c r="C50" s="2185" t="s">
        <v>494</v>
      </c>
      <c r="D50" s="2186"/>
      <c r="E50" s="2187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88" t="s">
        <v>558</v>
      </c>
      <c r="D51" s="2189"/>
      <c r="E51" s="2190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81"/>
      <c r="C55" s="2181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B55:C55"/>
    <mergeCell ref="C47:E47"/>
    <mergeCell ref="C48:E48"/>
    <mergeCell ref="C49:E49"/>
    <mergeCell ref="C50:E50"/>
    <mergeCell ref="C51:E51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24:B26"/>
    <mergeCell ref="C24:E24"/>
    <mergeCell ref="C25:E25"/>
    <mergeCell ref="C26:E26"/>
    <mergeCell ref="B27:B28"/>
    <mergeCell ref="C27:E28"/>
    <mergeCell ref="C14:G14"/>
    <mergeCell ref="B15:B23"/>
    <mergeCell ref="C15:E17"/>
    <mergeCell ref="C18:E20"/>
    <mergeCell ref="C21:E23"/>
    <mergeCell ref="B11:K11"/>
    <mergeCell ref="B12:K12"/>
    <mergeCell ref="C13:E13"/>
    <mergeCell ref="B9:K9"/>
    <mergeCell ref="B8:K8"/>
    <mergeCell ref="A4:K4"/>
    <mergeCell ref="B5:K5"/>
    <mergeCell ref="A6:K6"/>
    <mergeCell ref="AA6:AG6"/>
    <mergeCell ref="A7:K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2" t="s">
        <v>552</v>
      </c>
      <c r="B2" s="1942"/>
      <c r="C2" s="1942"/>
      <c r="D2" s="1942"/>
      <c r="E2" s="1942"/>
      <c r="F2" s="1942"/>
      <c r="G2" s="1942"/>
      <c r="H2" s="1136"/>
      <c r="I2" s="1136"/>
      <c r="J2" s="1136"/>
    </row>
    <row r="3" spans="1:10" ht="47.25" customHeight="1" x14ac:dyDescent="0.25">
      <c r="A3" s="2193" t="str">
        <f>' ССР (нов)'!A6:G6</f>
        <v xml:space="preserve">Перекладка теплового ввода </v>
      </c>
      <c r="B3" s="2193"/>
      <c r="C3" s="2193"/>
      <c r="D3" s="2193"/>
      <c r="E3" s="2193"/>
      <c r="F3" s="2193"/>
      <c r="G3" s="2193"/>
      <c r="H3" s="1138"/>
      <c r="I3" s="1138"/>
      <c r="J3" s="1138"/>
    </row>
    <row r="4" spans="1:10" ht="27.75" customHeight="1" x14ac:dyDescent="0.25">
      <c r="A4" s="1944" t="str">
        <f>' ССР (нов)'!A7:G7</f>
        <v>г. Москва , ул. Гамалеи д.11к.1</v>
      </c>
      <c r="B4" s="1944"/>
      <c r="C4" s="1944"/>
      <c r="D4" s="1944"/>
      <c r="E4" s="1944"/>
      <c r="F4" s="1944"/>
      <c r="G4" s="1944"/>
      <c r="H4" s="1139"/>
      <c r="I4" s="1139"/>
      <c r="J4" s="1139"/>
    </row>
    <row r="5" spans="1:10" ht="43.5" customHeight="1" x14ac:dyDescent="0.25">
      <c r="A5" s="1944" t="s">
        <v>635</v>
      </c>
      <c r="B5" s="1944"/>
      <c r="C5" s="1944"/>
      <c r="D5" s="1944"/>
      <c r="E5" s="1944"/>
      <c r="F5" s="1944"/>
      <c r="G5" s="1944"/>
      <c r="H5" s="1140"/>
      <c r="I5" s="1140"/>
      <c r="J5" s="1140"/>
    </row>
    <row r="6" spans="1:10" ht="48.75" customHeight="1" x14ac:dyDescent="0.25">
      <c r="A6" s="2194" t="s">
        <v>665</v>
      </c>
      <c r="B6" s="2194"/>
      <c r="C6" s="2194"/>
      <c r="D6" s="2194"/>
      <c r="E6" s="2194"/>
      <c r="F6" s="2194"/>
      <c r="G6" s="2194"/>
      <c r="H6" s="1535" t="s">
        <v>672</v>
      </c>
      <c r="I6" s="1141"/>
      <c r="J6" s="1141"/>
    </row>
    <row r="7" spans="1:10" ht="16.5" thickBot="1" x14ac:dyDescent="0.3">
      <c r="A7" s="2195"/>
      <c r="B7" s="2195"/>
      <c r="C7" s="2195"/>
      <c r="D7" s="2195"/>
      <c r="E7" s="2195"/>
      <c r="F7" s="2195"/>
      <c r="G7" s="2195"/>
      <c r="H7" s="1142"/>
      <c r="I7" s="1142"/>
      <c r="J7" s="1142"/>
    </row>
    <row r="8" spans="1:10" ht="32.25" thickBot="1" x14ac:dyDescent="0.3">
      <c r="A8" s="1143" t="s">
        <v>495</v>
      </c>
      <c r="B8" s="1144" t="s">
        <v>32</v>
      </c>
      <c r="C8" s="1144" t="s">
        <v>306</v>
      </c>
      <c r="D8" s="1145" t="s">
        <v>496</v>
      </c>
      <c r="E8" s="1145" t="s">
        <v>497</v>
      </c>
      <c r="F8" s="1146" t="s">
        <v>498</v>
      </c>
      <c r="G8" s="1147" t="s">
        <v>499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91" t="str">
        <f>CONCATENATE("Здание по адресу:   ",обслед!D10, )</f>
        <v>Здание по адресу:   г.Москва, Сторожевая ул., д.18 (пристройка)</v>
      </c>
      <c r="C10" s="2191"/>
      <c r="D10" s="2191"/>
      <c r="E10" s="2191"/>
      <c r="F10" s="2191"/>
      <c r="G10" s="1152"/>
    </row>
    <row r="11" spans="1:10" ht="86.25" customHeight="1" x14ac:dyDescent="0.25">
      <c r="A11" s="2005">
        <v>1</v>
      </c>
      <c r="B11" s="1153" t="s">
        <v>500</v>
      </c>
      <c r="C11" s="1154"/>
      <c r="D11" s="1154"/>
      <c r="E11" s="1155"/>
      <c r="F11" s="1155"/>
      <c r="G11" s="1156"/>
    </row>
    <row r="12" spans="1:10" ht="27.75" customHeight="1" x14ac:dyDescent="0.25">
      <c r="A12" s="2005"/>
      <c r="B12" s="1157" t="s">
        <v>501</v>
      </c>
      <c r="C12" s="1495" t="s">
        <v>673</v>
      </c>
      <c r="D12" s="1158" t="s">
        <v>502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673</v>
      </c>
    </row>
    <row r="13" spans="1:10" ht="31.5" x14ac:dyDescent="0.25">
      <c r="A13" s="2192"/>
      <c r="B13" s="1157" t="s">
        <v>503</v>
      </c>
      <c r="C13" s="1495" t="s">
        <v>674</v>
      </c>
      <c r="D13" s="1158" t="s">
        <v>504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674</v>
      </c>
    </row>
    <row r="14" spans="1:10" ht="47.25" x14ac:dyDescent="0.25">
      <c r="A14" s="1160">
        <v>2</v>
      </c>
      <c r="B14" s="1157" t="s">
        <v>505</v>
      </c>
      <c r="C14" s="1495" t="s">
        <v>675</v>
      </c>
      <c r="D14" s="1158" t="s">
        <v>506</v>
      </c>
      <c r="E14" s="1158">
        <v>12.1</v>
      </c>
      <c r="F14" s="1161">
        <v>1000</v>
      </c>
      <c r="G14" s="1159">
        <f>ROUND(E14*F14,2)</f>
        <v>12100</v>
      </c>
      <c r="H14" s="1495" t="s">
        <v>675</v>
      </c>
    </row>
    <row r="15" spans="1:10" ht="78.75" x14ac:dyDescent="0.25">
      <c r="A15" s="1162">
        <v>3</v>
      </c>
      <c r="B15" s="1157" t="s">
        <v>507</v>
      </c>
      <c r="C15" s="1495" t="s">
        <v>676</v>
      </c>
      <c r="D15" s="1158" t="s">
        <v>506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676</v>
      </c>
      <c r="I15" s="1536">
        <v>13.6</v>
      </c>
    </row>
    <row r="16" spans="1:10" x14ac:dyDescent="0.25">
      <c r="A16" s="1162">
        <v>4</v>
      </c>
      <c r="B16" s="1164" t="s">
        <v>508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509</v>
      </c>
      <c r="C17" s="1495" t="s">
        <v>677</v>
      </c>
      <c r="D17" s="1158" t="s">
        <v>510</v>
      </c>
      <c r="E17" s="1158">
        <v>11.94</v>
      </c>
      <c r="F17" s="1158"/>
      <c r="G17" s="1167">
        <f>ROUND(G16*E17/100,0)</f>
        <v>3075</v>
      </c>
      <c r="H17" s="1495" t="s">
        <v>677</v>
      </c>
    </row>
    <row r="18" spans="1:10" ht="20.25" customHeight="1" x14ac:dyDescent="0.25">
      <c r="A18" s="1162">
        <v>6</v>
      </c>
      <c r="B18" s="1164" t="s">
        <v>511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512</v>
      </c>
      <c r="C19" s="1495" t="s">
        <v>678</v>
      </c>
      <c r="D19" s="1158" t="s">
        <v>513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678</v>
      </c>
      <c r="J19" s="1168"/>
    </row>
    <row r="20" spans="1:10" ht="23.25" customHeight="1" x14ac:dyDescent="0.25">
      <c r="A20" s="1169"/>
      <c r="B20" s="1170" t="s">
        <v>514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07" t="s">
        <v>553</v>
      </c>
      <c r="B2" s="2207"/>
      <c r="C2" s="2207"/>
      <c r="D2" s="2207"/>
      <c r="E2" s="2207"/>
      <c r="F2" s="2207"/>
      <c r="G2" s="2207"/>
      <c r="H2" s="2207"/>
      <c r="I2" s="1137"/>
    </row>
    <row r="3" spans="1:32" ht="57" customHeight="1" x14ac:dyDescent="0.25">
      <c r="A3" s="2208" t="str">
        <f>' ССР (нов)'!A6:G6</f>
        <v xml:space="preserve">Перекладка теплового ввода </v>
      </c>
      <c r="B3" s="2208"/>
      <c r="C3" s="2208"/>
      <c r="D3" s="2208"/>
      <c r="E3" s="2208"/>
      <c r="F3" s="2208"/>
      <c r="G3" s="2208"/>
      <c r="H3" s="2208"/>
      <c r="I3" s="1137"/>
    </row>
    <row r="4" spans="1:32" ht="23.25" customHeight="1" x14ac:dyDescent="0.25">
      <c r="A4" s="2209" t="str">
        <f>' ССР (нов)'!A7:G7</f>
        <v>г. Москва , ул. Гамалеи д.11к.1</v>
      </c>
      <c r="B4" s="2209"/>
      <c r="C4" s="2209"/>
      <c r="D4" s="2209"/>
      <c r="E4" s="2209"/>
      <c r="F4" s="2209"/>
      <c r="G4" s="2209"/>
      <c r="H4" s="2209"/>
      <c r="I4" s="1137"/>
    </row>
    <row r="5" spans="1:32" ht="60" customHeight="1" x14ac:dyDescent="0.25">
      <c r="A5" s="2209" t="s">
        <v>636</v>
      </c>
      <c r="B5" s="2209"/>
      <c r="C5" s="2209"/>
      <c r="D5" s="2209"/>
      <c r="E5" s="2209"/>
      <c r="F5" s="2209"/>
      <c r="G5" s="2209"/>
      <c r="H5" s="2209"/>
      <c r="I5" s="1137"/>
    </row>
    <row r="6" spans="1:32" ht="87" customHeight="1" thickBot="1" x14ac:dyDescent="0.3">
      <c r="A6" s="2210" t="s">
        <v>515</v>
      </c>
      <c r="B6" s="2211"/>
      <c r="C6" s="2211"/>
      <c r="D6" s="2211"/>
      <c r="E6" s="2211"/>
      <c r="F6" s="2211"/>
      <c r="G6" s="2211"/>
      <c r="H6" s="2212"/>
      <c r="I6" s="1137"/>
    </row>
    <row r="7" spans="1:32" ht="27" customHeight="1" x14ac:dyDescent="0.25">
      <c r="A7" s="2196" t="s">
        <v>495</v>
      </c>
      <c r="B7" s="2198" t="s">
        <v>32</v>
      </c>
      <c r="C7" s="2199"/>
      <c r="D7" s="2202" t="s">
        <v>516</v>
      </c>
      <c r="E7" s="1177" t="s">
        <v>517</v>
      </c>
      <c r="F7" s="1177"/>
      <c r="G7" s="1177"/>
      <c r="H7" s="2204" t="s">
        <v>440</v>
      </c>
    </row>
    <row r="8" spans="1:32" ht="25.5" customHeight="1" x14ac:dyDescent="0.25">
      <c r="A8" s="2197"/>
      <c r="B8" s="2200"/>
      <c r="C8" s="2201"/>
      <c r="D8" s="2203"/>
      <c r="E8" s="1178" t="s">
        <v>518</v>
      </c>
      <c r="F8" s="2206" t="s">
        <v>519</v>
      </c>
      <c r="G8" s="2206"/>
      <c r="H8" s="2205"/>
    </row>
    <row r="9" spans="1:32" x14ac:dyDescent="0.25">
      <c r="A9" s="1160">
        <v>1</v>
      </c>
      <c r="B9" s="2213">
        <v>2</v>
      </c>
      <c r="C9" s="2214"/>
      <c r="D9" s="1179">
        <v>3</v>
      </c>
      <c r="E9" s="1179">
        <v>4</v>
      </c>
      <c r="F9" s="2215">
        <v>5</v>
      </c>
      <c r="G9" s="2216"/>
      <c r="H9" s="1180">
        <v>6</v>
      </c>
    </row>
    <row r="10" spans="1:32" s="1185" customFormat="1" ht="19.5" thickBot="1" x14ac:dyDescent="0.35">
      <c r="A10" s="1181"/>
      <c r="B10" s="1182" t="s">
        <v>520</v>
      </c>
      <c r="C10" s="2217" t="str">
        <f>обслед!D10</f>
        <v>г.Москва, Сторожевая ул., д.18 (пристройка)</v>
      </c>
      <c r="D10" s="2217"/>
      <c r="E10" s="2217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521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5"/>
      <c r="B12" s="731" t="s">
        <v>311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45"/>
      <c r="B13" s="737" t="s">
        <v>312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45"/>
      <c r="B14" s="742" t="s">
        <v>313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45"/>
      <c r="B15" s="1192" t="s">
        <v>314</v>
      </c>
      <c r="C15" s="746"/>
      <c r="D15" s="746"/>
      <c r="E15" s="747" t="s">
        <v>315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45"/>
      <c r="B16" s="1195" t="s">
        <v>316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45"/>
      <c r="B17" s="1198" t="s">
        <v>317</v>
      </c>
      <c r="C17" s="755"/>
      <c r="D17" s="755"/>
      <c r="E17" s="754" t="s">
        <v>306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45"/>
      <c r="B18" s="1199" t="s">
        <v>318</v>
      </c>
      <c r="C18" s="758"/>
      <c r="D18" s="758"/>
      <c r="E18" s="757" t="s">
        <v>319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45"/>
      <c r="B19" s="1199" t="s">
        <v>320</v>
      </c>
      <c r="C19" s="758"/>
      <c r="D19" s="758"/>
      <c r="E19" s="757" t="s">
        <v>321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45"/>
      <c r="B20" s="2218" t="s">
        <v>322</v>
      </c>
      <c r="C20" s="2048"/>
      <c r="D20" s="2049"/>
      <c r="E20" s="764" t="s">
        <v>323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45"/>
      <c r="B21" s="1205" t="s">
        <v>324</v>
      </c>
      <c r="C21" s="769"/>
      <c r="D21" s="769"/>
      <c r="E21" s="747" t="s">
        <v>431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45"/>
      <c r="B22" s="1205" t="s">
        <v>326</v>
      </c>
      <c r="C22" s="769"/>
      <c r="D22" s="769"/>
      <c r="E22" s="747" t="s">
        <v>327</v>
      </c>
      <c r="F22" s="770"/>
      <c r="G22" s="1193"/>
      <c r="H22" s="1206"/>
      <c r="I22" s="771"/>
      <c r="J22" s="771"/>
    </row>
    <row r="23" spans="1:11" s="717" customFormat="1" x14ac:dyDescent="0.25">
      <c r="A23" s="2045"/>
      <c r="B23" s="1207" t="s">
        <v>328</v>
      </c>
      <c r="C23" s="773"/>
      <c r="D23" s="773"/>
      <c r="E23" s="772" t="s">
        <v>329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45"/>
      <c r="B24" s="1205" t="s">
        <v>330</v>
      </c>
      <c r="C24" s="769"/>
      <c r="D24" s="769"/>
      <c r="E24" s="747" t="s">
        <v>331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45"/>
      <c r="B25" s="1211" t="s">
        <v>332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45"/>
      <c r="B26" s="2219" t="s">
        <v>333</v>
      </c>
      <c r="C26" s="2051"/>
      <c r="D26" s="2052"/>
      <c r="E26" s="747" t="s">
        <v>334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45"/>
      <c r="B27" s="2219" t="s">
        <v>335</v>
      </c>
      <c r="C27" s="2051"/>
      <c r="D27" s="2052"/>
      <c r="E27" s="747" t="s">
        <v>336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45"/>
      <c r="B28" s="2219" t="s">
        <v>337</v>
      </c>
      <c r="C28" s="2051"/>
      <c r="D28" s="2052"/>
      <c r="E28" s="747" t="s">
        <v>338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45"/>
      <c r="B29" s="2220" t="s">
        <v>339</v>
      </c>
      <c r="C29" s="2054"/>
      <c r="D29" s="2055"/>
      <c r="E29" s="747" t="s">
        <v>340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45"/>
      <c r="B30" s="1213" t="s">
        <v>341</v>
      </c>
      <c r="C30" s="782"/>
      <c r="D30" s="782"/>
      <c r="E30" s="747" t="s">
        <v>342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45"/>
      <c r="B31" s="1213" t="s">
        <v>343</v>
      </c>
      <c r="C31" s="784"/>
      <c r="D31" s="784"/>
      <c r="E31" s="747" t="s">
        <v>344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45"/>
      <c r="B32" s="1213" t="s">
        <v>345</v>
      </c>
      <c r="C32" s="782"/>
      <c r="D32" s="782"/>
      <c r="E32" s="747" t="s">
        <v>346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45"/>
      <c r="B33" s="1214" t="s">
        <v>347</v>
      </c>
      <c r="C33" s="785"/>
      <c r="D33" s="786"/>
      <c r="E33" s="747" t="s">
        <v>348</v>
      </c>
      <c r="F33" s="787"/>
      <c r="G33" s="1212">
        <f>0.107*0</f>
        <v>0</v>
      </c>
      <c r="H33" s="1215" t="s">
        <v>349</v>
      </c>
      <c r="I33" s="789"/>
      <c r="J33" s="789"/>
    </row>
    <row r="34" spans="1:12" s="717" customFormat="1" ht="16.5" hidden="1" customHeight="1" x14ac:dyDescent="0.25">
      <c r="A34" s="2045"/>
      <c r="B34" s="1213" t="s">
        <v>350</v>
      </c>
      <c r="C34" s="782"/>
      <c r="D34" s="782"/>
      <c r="E34" s="747" t="s">
        <v>351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45"/>
      <c r="B35" s="1216" t="s">
        <v>352</v>
      </c>
      <c r="C35" s="784"/>
      <c r="D35" s="784"/>
      <c r="E35" s="747" t="s">
        <v>353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45"/>
      <c r="B36" s="1217" t="s">
        <v>328</v>
      </c>
      <c r="C36" s="746"/>
      <c r="D36" s="746"/>
      <c r="E36" s="791" t="s">
        <v>354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45"/>
      <c r="B37" s="1217" t="s">
        <v>355</v>
      </c>
      <c r="C37" s="746"/>
      <c r="D37" s="746"/>
      <c r="E37" s="745" t="s">
        <v>356</v>
      </c>
      <c r="F37" s="748"/>
      <c r="G37" s="1219">
        <v>223.26</v>
      </c>
      <c r="H37" s="1220"/>
      <c r="I37" s="794"/>
      <c r="J37" s="1221" t="s">
        <v>522</v>
      </c>
    </row>
    <row r="38" spans="1:12" s="717" customFormat="1" ht="18.75" customHeight="1" x14ac:dyDescent="0.25">
      <c r="A38" s="2045"/>
      <c r="B38" s="1222" t="s">
        <v>357</v>
      </c>
      <c r="C38" s="796"/>
      <c r="D38" s="796"/>
      <c r="E38" s="795" t="s">
        <v>358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46"/>
      <c r="B39" s="1224" t="s">
        <v>359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523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45"/>
      <c r="B41" s="843" t="s">
        <v>318</v>
      </c>
      <c r="C41" s="839"/>
      <c r="D41" s="839"/>
      <c r="E41" s="843" t="s">
        <v>319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45"/>
      <c r="B42" s="813" t="s">
        <v>320</v>
      </c>
      <c r="C42" s="814"/>
      <c r="D42" s="814"/>
      <c r="E42" s="813" t="s">
        <v>321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45"/>
      <c r="B43" s="816" t="s">
        <v>361</v>
      </c>
      <c r="C43" s="817"/>
      <c r="D43" s="817"/>
      <c r="E43" s="816" t="s">
        <v>323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45"/>
      <c r="B44" s="813" t="s">
        <v>324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45"/>
      <c r="B45" s="819" t="s">
        <v>362</v>
      </c>
      <c r="C45" s="820"/>
      <c r="D45" s="820"/>
      <c r="E45" s="821" t="s">
        <v>363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45"/>
      <c r="B46" s="824" t="s">
        <v>328</v>
      </c>
      <c r="C46" s="825"/>
      <c r="D46" s="825"/>
      <c r="E46" s="824" t="s">
        <v>329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45"/>
      <c r="B47" s="2058" t="s">
        <v>330</v>
      </c>
      <c r="C47" s="2059"/>
      <c r="D47" s="828"/>
      <c r="E47" s="829" t="s">
        <v>364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45"/>
      <c r="B48" s="833" t="s">
        <v>332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45"/>
      <c r="B49" s="2060" t="s">
        <v>365</v>
      </c>
      <c r="C49" s="2061"/>
      <c r="D49" s="2061"/>
      <c r="E49" s="757" t="s">
        <v>366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45"/>
      <c r="B50" s="2060" t="s">
        <v>333</v>
      </c>
      <c r="C50" s="2061"/>
      <c r="D50" s="2061"/>
      <c r="E50" s="757" t="s">
        <v>367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45"/>
      <c r="B51" s="757" t="s">
        <v>368</v>
      </c>
      <c r="C51" s="758"/>
      <c r="D51" s="758"/>
      <c r="E51" s="757" t="s">
        <v>369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45"/>
      <c r="B52" s="757" t="s">
        <v>370</v>
      </c>
      <c r="C52" s="758"/>
      <c r="D52" s="758"/>
      <c r="E52" s="757" t="s">
        <v>371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45"/>
      <c r="B53" s="757" t="s">
        <v>372</v>
      </c>
      <c r="C53" s="758"/>
      <c r="D53" s="758"/>
      <c r="E53" s="757" t="s">
        <v>373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45"/>
      <c r="B54" s="747" t="s">
        <v>374</v>
      </c>
      <c r="C54" s="769"/>
      <c r="D54" s="769"/>
      <c r="E54" s="747" t="s">
        <v>375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45"/>
      <c r="B55" s="2062" t="s">
        <v>376</v>
      </c>
      <c r="C55" s="2063"/>
      <c r="D55" s="2064"/>
      <c r="E55" s="747" t="s">
        <v>377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45"/>
      <c r="B56" s="838" t="s">
        <v>328</v>
      </c>
      <c r="C56" s="839"/>
      <c r="D56" s="839"/>
      <c r="E56" s="838" t="s">
        <v>354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45"/>
      <c r="B57" s="838" t="s">
        <v>378</v>
      </c>
      <c r="C57" s="839"/>
      <c r="D57" s="839"/>
      <c r="E57" s="843" t="s">
        <v>379</v>
      </c>
      <c r="F57" s="840"/>
      <c r="G57" s="1236">
        <v>38.31</v>
      </c>
      <c r="H57" s="1220"/>
      <c r="I57" s="845"/>
      <c r="J57" s="1221" t="s">
        <v>522</v>
      </c>
    </row>
    <row r="58" spans="1:32" s="762" customFormat="1" ht="18.75" hidden="1" customHeight="1" x14ac:dyDescent="0.2">
      <c r="A58" s="2045"/>
      <c r="B58" s="757" t="s">
        <v>380</v>
      </c>
      <c r="C58" s="758"/>
      <c r="D58" s="758"/>
      <c r="E58" s="757" t="s">
        <v>381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46"/>
      <c r="B59" s="846" t="s">
        <v>382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107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108"/>
      <c r="D60" s="2108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36" t="s">
        <v>524</v>
      </c>
      <c r="B61" s="2238" t="s">
        <v>525</v>
      </c>
      <c r="C61" s="2239"/>
      <c r="D61" s="2240" t="s">
        <v>526</v>
      </c>
      <c r="E61" s="2242">
        <f>H60</f>
        <v>348.72</v>
      </c>
      <c r="F61" s="2245" t="s">
        <v>527</v>
      </c>
      <c r="G61" s="2247">
        <v>0.1</v>
      </c>
      <c r="H61" s="2221">
        <f>ROUND(E61*G61,2)</f>
        <v>34.869999999999997</v>
      </c>
      <c r="I61" s="1242"/>
    </row>
    <row r="62" spans="1:32" x14ac:dyDescent="0.25">
      <c r="A62" s="2237"/>
      <c r="B62" s="1243" t="s">
        <v>528</v>
      </c>
      <c r="C62" s="1244">
        <v>1</v>
      </c>
      <c r="D62" s="2241"/>
      <c r="E62" s="2243"/>
      <c r="F62" s="2246"/>
      <c r="G62" s="2248"/>
      <c r="H62" s="2222"/>
      <c r="I62" s="1242"/>
    </row>
    <row r="63" spans="1:32" x14ac:dyDescent="0.25">
      <c r="A63" s="2237"/>
      <c r="B63" s="1245" t="s">
        <v>529</v>
      </c>
      <c r="C63" s="1246"/>
      <c r="D63" s="2241"/>
      <c r="E63" s="2244"/>
      <c r="F63" s="2246"/>
      <c r="G63" s="2248"/>
      <c r="H63" s="2222"/>
      <c r="I63" s="1242"/>
    </row>
    <row r="64" spans="1:32" x14ac:dyDescent="0.25">
      <c r="A64" s="2223">
        <v>5</v>
      </c>
      <c r="B64" s="2225" t="s">
        <v>530</v>
      </c>
      <c r="C64" s="2226"/>
      <c r="D64" s="2227" t="s">
        <v>531</v>
      </c>
      <c r="E64" s="2229">
        <f>E61</f>
        <v>348.72</v>
      </c>
      <c r="F64" s="2230" t="s">
        <v>527</v>
      </c>
      <c r="G64" s="2232">
        <v>0.05</v>
      </c>
      <c r="H64" s="2234">
        <f>ROUND(E64*G64,2)</f>
        <v>17.440000000000001</v>
      </c>
    </row>
    <row r="65" spans="1:8" x14ac:dyDescent="0.25">
      <c r="A65" s="2224"/>
      <c r="B65" s="1247" t="s">
        <v>532</v>
      </c>
      <c r="C65" s="1248">
        <v>1</v>
      </c>
      <c r="D65" s="2228"/>
      <c r="E65" s="2229"/>
      <c r="F65" s="2231"/>
      <c r="G65" s="2233"/>
      <c r="H65" s="2235"/>
    </row>
    <row r="66" spans="1:8" x14ac:dyDescent="0.25">
      <c r="A66" s="2224"/>
      <c r="B66" s="1247" t="s">
        <v>533</v>
      </c>
      <c r="C66" s="1249"/>
      <c r="D66" s="2228"/>
      <c r="E66" s="2229"/>
      <c r="F66" s="2231"/>
      <c r="G66" s="2233"/>
      <c r="H66" s="2235"/>
    </row>
    <row r="67" spans="1:8" ht="29.25" customHeight="1" x14ac:dyDescent="0.25">
      <c r="A67" s="2223">
        <v>6</v>
      </c>
      <c r="B67" s="2225" t="s">
        <v>534</v>
      </c>
      <c r="C67" s="2226"/>
      <c r="D67" s="2227" t="s">
        <v>535</v>
      </c>
      <c r="E67" s="2253">
        <f>C69</f>
        <v>251.2</v>
      </c>
      <c r="F67" s="2230" t="s">
        <v>527</v>
      </c>
      <c r="G67" s="2257">
        <f>C68</f>
        <v>5</v>
      </c>
      <c r="H67" s="2234">
        <f>ROUND(E67*G67,2)</f>
        <v>1256</v>
      </c>
    </row>
    <row r="68" spans="1:8" x14ac:dyDescent="0.25">
      <c r="A68" s="2224"/>
      <c r="B68" s="1247" t="s">
        <v>536</v>
      </c>
      <c r="C68" s="1248">
        <v>5</v>
      </c>
      <c r="D68" s="2228"/>
      <c r="E68" s="2254"/>
      <c r="F68" s="2231"/>
      <c r="G68" s="2258"/>
      <c r="H68" s="2235"/>
    </row>
    <row r="69" spans="1:8" ht="16.5" thickBot="1" x14ac:dyDescent="0.3">
      <c r="A69" s="1893"/>
      <c r="B69" s="1250" t="s">
        <v>537</v>
      </c>
      <c r="C69" s="1251">
        <v>251.2</v>
      </c>
      <c r="D69" s="2252"/>
      <c r="E69" s="2255"/>
      <c r="F69" s="2256"/>
      <c r="G69" s="2259"/>
      <c r="H69" s="2249"/>
    </row>
    <row r="70" spans="1:8" s="160" customFormat="1" ht="55.5" customHeight="1" thickBot="1" x14ac:dyDescent="0.25">
      <c r="A70" s="1151"/>
      <c r="B70" s="2250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51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H67:H69"/>
    <mergeCell ref="B70:C70"/>
    <mergeCell ref="A67:A69"/>
    <mergeCell ref="B67:C67"/>
    <mergeCell ref="D67:D69"/>
    <mergeCell ref="E67:E69"/>
    <mergeCell ref="F67:F69"/>
    <mergeCell ref="G67:G69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A2:H2"/>
    <mergeCell ref="A3:H3"/>
    <mergeCell ref="A4:H4"/>
    <mergeCell ref="A5:H5"/>
    <mergeCell ref="A6:H6"/>
    <mergeCell ref="A7:A8"/>
    <mergeCell ref="B7:C8"/>
    <mergeCell ref="D7:D8"/>
    <mergeCell ref="H7:H8"/>
    <mergeCell ref="F8:G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60" t="s">
        <v>554</v>
      </c>
      <c r="B2" s="2260"/>
      <c r="C2" s="2260"/>
      <c r="D2" s="2260"/>
      <c r="E2" s="2260"/>
      <c r="F2" s="2260"/>
      <c r="G2" s="2260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61" t="str">
        <f>' ССР (нов)'!A6:G6</f>
        <v xml:space="preserve">Перекладка теплового ввода </v>
      </c>
      <c r="B4" s="2262"/>
      <c r="C4" s="2262"/>
      <c r="D4" s="2262"/>
      <c r="E4" s="2262"/>
      <c r="F4" s="2262"/>
      <c r="G4" s="2262"/>
      <c r="H4" s="42"/>
    </row>
    <row r="5" spans="1:8" ht="20.25" customHeight="1" x14ac:dyDescent="0.2">
      <c r="A5" s="2266" t="str">
        <f>' ССР (нов)'!A7:G7</f>
        <v>г. Москва , ул. Гамалеи д.11к.1</v>
      </c>
      <c r="B5" s="2265"/>
      <c r="C5" s="2265"/>
      <c r="D5" s="2265"/>
      <c r="E5" s="2265"/>
      <c r="F5" s="2265"/>
      <c r="G5" s="2265"/>
    </row>
    <row r="6" spans="1:8" ht="20.25" customHeight="1" x14ac:dyDescent="0.2">
      <c r="A6" s="2265" t="s">
        <v>73</v>
      </c>
      <c r="B6" s="2265"/>
      <c r="C6" s="2265"/>
      <c r="D6" s="2265"/>
      <c r="E6" s="2265"/>
      <c r="F6" s="2265"/>
      <c r="G6" s="2265"/>
    </row>
    <row r="7" spans="1:8" ht="33.75" customHeight="1" x14ac:dyDescent="0.2">
      <c r="A7" s="2263" t="s">
        <v>69</v>
      </c>
      <c r="B7" s="2263"/>
      <c r="C7" s="2263"/>
      <c r="D7" s="2263"/>
      <c r="E7" s="2263"/>
      <c r="F7" s="2263"/>
      <c r="G7" s="2263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19</v>
      </c>
      <c r="B9" s="68" t="s">
        <v>20</v>
      </c>
      <c r="C9" s="68" t="s">
        <v>71</v>
      </c>
      <c r="D9" s="44" t="s">
        <v>70</v>
      </c>
      <c r="E9" s="68" t="s">
        <v>21</v>
      </c>
      <c r="F9" s="68" t="s">
        <v>22</v>
      </c>
      <c r="G9" s="68" t="s">
        <v>23</v>
      </c>
    </row>
    <row r="10" spans="1:8" ht="15.75" x14ac:dyDescent="0.2">
      <c r="A10" s="2264" t="s">
        <v>302</v>
      </c>
      <c r="B10" s="2264"/>
      <c r="C10" s="2264"/>
      <c r="D10" s="2264"/>
      <c r="E10" s="2264"/>
      <c r="F10" s="2264"/>
      <c r="G10" s="2264"/>
    </row>
    <row r="11" spans="1:8" ht="15.75" x14ac:dyDescent="0.2">
      <c r="A11" s="241"/>
      <c r="B11" s="239" t="s">
        <v>24</v>
      </c>
      <c r="C11" s="241"/>
      <c r="D11" s="242"/>
      <c r="E11" s="241" t="s">
        <v>25</v>
      </c>
      <c r="F11" s="243">
        <f>Т.с.!C17</f>
        <v>17</v>
      </c>
      <c r="G11" s="241"/>
      <c r="H11" s="42"/>
    </row>
    <row r="12" spans="1:8" ht="45" x14ac:dyDescent="0.2">
      <c r="A12" s="241"/>
      <c r="B12" s="240" t="s">
        <v>26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27</v>
      </c>
      <c r="C13" s="241" t="s">
        <v>28</v>
      </c>
      <c r="D13" s="242">
        <v>296</v>
      </c>
      <c r="E13" s="241"/>
      <c r="F13" s="245">
        <f>F11</f>
        <v>17</v>
      </c>
      <c r="G13" s="246">
        <f>D13*F13</f>
        <v>5032</v>
      </c>
    </row>
    <row r="14" spans="1:8" ht="45" x14ac:dyDescent="0.2">
      <c r="A14" s="241"/>
      <c r="B14" s="240" t="s">
        <v>29</v>
      </c>
      <c r="C14" s="241" t="s">
        <v>30</v>
      </c>
      <c r="D14" s="242">
        <v>1.1499999999999999</v>
      </c>
      <c r="E14" s="241"/>
      <c r="F14" s="244"/>
      <c r="G14" s="247">
        <f>G13*D14</f>
        <v>5786.7999999999993</v>
      </c>
      <c r="H14" s="42"/>
    </row>
    <row r="15" spans="1:8" ht="15.75" x14ac:dyDescent="0.2">
      <c r="A15" s="241"/>
      <c r="B15" s="252" t="s">
        <v>303</v>
      </c>
      <c r="C15" s="241"/>
      <c r="D15" s="242"/>
      <c r="E15" s="241"/>
      <c r="F15" s="244"/>
      <c r="G15" s="249">
        <f>G14</f>
        <v>5786.7999999999993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630</v>
      </c>
      <c r="C17" s="241"/>
      <c r="D17" s="242"/>
      <c r="E17" s="241"/>
      <c r="F17" s="244"/>
      <c r="G17" s="249">
        <f>G15</f>
        <v>5786.7999999999993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8" width="9.5703125" style="1641" bestFit="1" customWidth="1"/>
    <col min="9" max="9" width="9.28515625" style="1641" bestFit="1" customWidth="1"/>
    <col min="10" max="256" width="9.140625" style="1641"/>
    <col min="257" max="257" width="4.85546875" style="1641" customWidth="1"/>
    <col min="258" max="258" width="38.42578125" style="1641" customWidth="1"/>
    <col min="259" max="259" width="22.7109375" style="1641" customWidth="1"/>
    <col min="260" max="262" width="11" style="1641" customWidth="1"/>
    <col min="263" max="263" width="15.7109375" style="1641" customWidth="1"/>
    <col min="264" max="264" width="9.5703125" style="1641" bestFit="1" customWidth="1"/>
    <col min="265" max="265" width="9.28515625" style="1641" bestFit="1" customWidth="1"/>
    <col min="266" max="512" width="9.140625" style="1641"/>
    <col min="513" max="513" width="4.85546875" style="1641" customWidth="1"/>
    <col min="514" max="514" width="38.42578125" style="1641" customWidth="1"/>
    <col min="515" max="515" width="22.7109375" style="1641" customWidth="1"/>
    <col min="516" max="518" width="11" style="1641" customWidth="1"/>
    <col min="519" max="519" width="15.7109375" style="1641" customWidth="1"/>
    <col min="520" max="520" width="9.5703125" style="1641" bestFit="1" customWidth="1"/>
    <col min="521" max="521" width="9.28515625" style="1641" bestFit="1" customWidth="1"/>
    <col min="522" max="768" width="9.140625" style="1641"/>
    <col min="769" max="769" width="4.85546875" style="1641" customWidth="1"/>
    <col min="770" max="770" width="38.42578125" style="1641" customWidth="1"/>
    <col min="771" max="771" width="22.7109375" style="1641" customWidth="1"/>
    <col min="772" max="774" width="11" style="1641" customWidth="1"/>
    <col min="775" max="775" width="15.7109375" style="1641" customWidth="1"/>
    <col min="776" max="776" width="9.5703125" style="1641" bestFit="1" customWidth="1"/>
    <col min="777" max="777" width="9.28515625" style="1641" bestFit="1" customWidth="1"/>
    <col min="778" max="1024" width="9.140625" style="1641"/>
    <col min="1025" max="1025" width="4.85546875" style="1641" customWidth="1"/>
    <col min="1026" max="1026" width="38.42578125" style="1641" customWidth="1"/>
    <col min="1027" max="1027" width="22.7109375" style="1641" customWidth="1"/>
    <col min="1028" max="1030" width="11" style="1641" customWidth="1"/>
    <col min="1031" max="1031" width="15.7109375" style="1641" customWidth="1"/>
    <col min="1032" max="1032" width="9.5703125" style="1641" bestFit="1" customWidth="1"/>
    <col min="1033" max="1033" width="9.28515625" style="1641" bestFit="1" customWidth="1"/>
    <col min="1034" max="1280" width="9.140625" style="1641"/>
    <col min="1281" max="1281" width="4.85546875" style="1641" customWidth="1"/>
    <col min="1282" max="1282" width="38.42578125" style="1641" customWidth="1"/>
    <col min="1283" max="1283" width="22.7109375" style="1641" customWidth="1"/>
    <col min="1284" max="1286" width="11" style="1641" customWidth="1"/>
    <col min="1287" max="1287" width="15.7109375" style="1641" customWidth="1"/>
    <col min="1288" max="1288" width="9.5703125" style="1641" bestFit="1" customWidth="1"/>
    <col min="1289" max="1289" width="9.28515625" style="1641" bestFit="1" customWidth="1"/>
    <col min="1290" max="1536" width="9.140625" style="1641"/>
    <col min="1537" max="1537" width="4.85546875" style="1641" customWidth="1"/>
    <col min="1538" max="1538" width="38.42578125" style="1641" customWidth="1"/>
    <col min="1539" max="1539" width="22.7109375" style="1641" customWidth="1"/>
    <col min="1540" max="1542" width="11" style="1641" customWidth="1"/>
    <col min="1543" max="1543" width="15.7109375" style="1641" customWidth="1"/>
    <col min="1544" max="1544" width="9.5703125" style="1641" bestFit="1" customWidth="1"/>
    <col min="1545" max="1545" width="9.28515625" style="1641" bestFit="1" customWidth="1"/>
    <col min="1546" max="1792" width="9.140625" style="1641"/>
    <col min="1793" max="1793" width="4.85546875" style="1641" customWidth="1"/>
    <col min="1794" max="1794" width="38.42578125" style="1641" customWidth="1"/>
    <col min="1795" max="1795" width="22.7109375" style="1641" customWidth="1"/>
    <col min="1796" max="1798" width="11" style="1641" customWidth="1"/>
    <col min="1799" max="1799" width="15.7109375" style="1641" customWidth="1"/>
    <col min="1800" max="1800" width="9.5703125" style="1641" bestFit="1" customWidth="1"/>
    <col min="1801" max="1801" width="9.28515625" style="1641" bestFit="1" customWidth="1"/>
    <col min="1802" max="2048" width="9.140625" style="1641"/>
    <col min="2049" max="2049" width="4.85546875" style="1641" customWidth="1"/>
    <col min="2050" max="2050" width="38.42578125" style="1641" customWidth="1"/>
    <col min="2051" max="2051" width="22.7109375" style="1641" customWidth="1"/>
    <col min="2052" max="2054" width="11" style="1641" customWidth="1"/>
    <col min="2055" max="2055" width="15.7109375" style="1641" customWidth="1"/>
    <col min="2056" max="2056" width="9.5703125" style="1641" bestFit="1" customWidth="1"/>
    <col min="2057" max="2057" width="9.28515625" style="1641" bestFit="1" customWidth="1"/>
    <col min="2058" max="2304" width="9.140625" style="1641"/>
    <col min="2305" max="2305" width="4.85546875" style="1641" customWidth="1"/>
    <col min="2306" max="2306" width="38.42578125" style="1641" customWidth="1"/>
    <col min="2307" max="2307" width="22.7109375" style="1641" customWidth="1"/>
    <col min="2308" max="2310" width="11" style="1641" customWidth="1"/>
    <col min="2311" max="2311" width="15.7109375" style="1641" customWidth="1"/>
    <col min="2312" max="2312" width="9.5703125" style="1641" bestFit="1" customWidth="1"/>
    <col min="2313" max="2313" width="9.28515625" style="1641" bestFit="1" customWidth="1"/>
    <col min="2314" max="2560" width="9.140625" style="1641"/>
    <col min="2561" max="2561" width="4.85546875" style="1641" customWidth="1"/>
    <col min="2562" max="2562" width="38.42578125" style="1641" customWidth="1"/>
    <col min="2563" max="2563" width="22.7109375" style="1641" customWidth="1"/>
    <col min="2564" max="2566" width="11" style="1641" customWidth="1"/>
    <col min="2567" max="2567" width="15.7109375" style="1641" customWidth="1"/>
    <col min="2568" max="2568" width="9.5703125" style="1641" bestFit="1" customWidth="1"/>
    <col min="2569" max="2569" width="9.28515625" style="1641" bestFit="1" customWidth="1"/>
    <col min="2570" max="2816" width="9.140625" style="1641"/>
    <col min="2817" max="2817" width="4.85546875" style="1641" customWidth="1"/>
    <col min="2818" max="2818" width="38.42578125" style="1641" customWidth="1"/>
    <col min="2819" max="2819" width="22.7109375" style="1641" customWidth="1"/>
    <col min="2820" max="2822" width="11" style="1641" customWidth="1"/>
    <col min="2823" max="2823" width="15.7109375" style="1641" customWidth="1"/>
    <col min="2824" max="2824" width="9.5703125" style="1641" bestFit="1" customWidth="1"/>
    <col min="2825" max="2825" width="9.28515625" style="1641" bestFit="1" customWidth="1"/>
    <col min="2826" max="3072" width="9.140625" style="1641"/>
    <col min="3073" max="3073" width="4.85546875" style="1641" customWidth="1"/>
    <col min="3074" max="3074" width="38.42578125" style="1641" customWidth="1"/>
    <col min="3075" max="3075" width="22.7109375" style="1641" customWidth="1"/>
    <col min="3076" max="3078" width="11" style="1641" customWidth="1"/>
    <col min="3079" max="3079" width="15.7109375" style="1641" customWidth="1"/>
    <col min="3080" max="3080" width="9.5703125" style="1641" bestFit="1" customWidth="1"/>
    <col min="3081" max="3081" width="9.28515625" style="1641" bestFit="1" customWidth="1"/>
    <col min="3082" max="3328" width="9.140625" style="1641"/>
    <col min="3329" max="3329" width="4.85546875" style="1641" customWidth="1"/>
    <col min="3330" max="3330" width="38.42578125" style="1641" customWidth="1"/>
    <col min="3331" max="3331" width="22.7109375" style="1641" customWidth="1"/>
    <col min="3332" max="3334" width="11" style="1641" customWidth="1"/>
    <col min="3335" max="3335" width="15.7109375" style="1641" customWidth="1"/>
    <col min="3336" max="3336" width="9.5703125" style="1641" bestFit="1" customWidth="1"/>
    <col min="3337" max="3337" width="9.28515625" style="1641" bestFit="1" customWidth="1"/>
    <col min="3338" max="3584" width="9.140625" style="1641"/>
    <col min="3585" max="3585" width="4.85546875" style="1641" customWidth="1"/>
    <col min="3586" max="3586" width="38.42578125" style="1641" customWidth="1"/>
    <col min="3587" max="3587" width="22.7109375" style="1641" customWidth="1"/>
    <col min="3588" max="3590" width="11" style="1641" customWidth="1"/>
    <col min="3591" max="3591" width="15.7109375" style="1641" customWidth="1"/>
    <col min="3592" max="3592" width="9.5703125" style="1641" bestFit="1" customWidth="1"/>
    <col min="3593" max="3593" width="9.28515625" style="1641" bestFit="1" customWidth="1"/>
    <col min="3594" max="3840" width="9.140625" style="1641"/>
    <col min="3841" max="3841" width="4.85546875" style="1641" customWidth="1"/>
    <col min="3842" max="3842" width="38.42578125" style="1641" customWidth="1"/>
    <col min="3843" max="3843" width="22.7109375" style="1641" customWidth="1"/>
    <col min="3844" max="3846" width="11" style="1641" customWidth="1"/>
    <col min="3847" max="3847" width="15.7109375" style="1641" customWidth="1"/>
    <col min="3848" max="3848" width="9.5703125" style="1641" bestFit="1" customWidth="1"/>
    <col min="3849" max="3849" width="9.28515625" style="1641" bestFit="1" customWidth="1"/>
    <col min="3850" max="4096" width="9.140625" style="1641"/>
    <col min="4097" max="4097" width="4.85546875" style="1641" customWidth="1"/>
    <col min="4098" max="4098" width="38.42578125" style="1641" customWidth="1"/>
    <col min="4099" max="4099" width="22.7109375" style="1641" customWidth="1"/>
    <col min="4100" max="4102" width="11" style="1641" customWidth="1"/>
    <col min="4103" max="4103" width="15.7109375" style="1641" customWidth="1"/>
    <col min="4104" max="4104" width="9.5703125" style="1641" bestFit="1" customWidth="1"/>
    <col min="4105" max="4105" width="9.28515625" style="1641" bestFit="1" customWidth="1"/>
    <col min="4106" max="4352" width="9.140625" style="1641"/>
    <col min="4353" max="4353" width="4.85546875" style="1641" customWidth="1"/>
    <col min="4354" max="4354" width="38.42578125" style="1641" customWidth="1"/>
    <col min="4355" max="4355" width="22.7109375" style="1641" customWidth="1"/>
    <col min="4356" max="4358" width="11" style="1641" customWidth="1"/>
    <col min="4359" max="4359" width="15.7109375" style="1641" customWidth="1"/>
    <col min="4360" max="4360" width="9.5703125" style="1641" bestFit="1" customWidth="1"/>
    <col min="4361" max="4361" width="9.28515625" style="1641" bestFit="1" customWidth="1"/>
    <col min="4362" max="4608" width="9.140625" style="1641"/>
    <col min="4609" max="4609" width="4.85546875" style="1641" customWidth="1"/>
    <col min="4610" max="4610" width="38.42578125" style="1641" customWidth="1"/>
    <col min="4611" max="4611" width="22.7109375" style="1641" customWidth="1"/>
    <col min="4612" max="4614" width="11" style="1641" customWidth="1"/>
    <col min="4615" max="4615" width="15.7109375" style="1641" customWidth="1"/>
    <col min="4616" max="4616" width="9.5703125" style="1641" bestFit="1" customWidth="1"/>
    <col min="4617" max="4617" width="9.28515625" style="1641" bestFit="1" customWidth="1"/>
    <col min="4618" max="4864" width="9.140625" style="1641"/>
    <col min="4865" max="4865" width="4.85546875" style="1641" customWidth="1"/>
    <col min="4866" max="4866" width="38.42578125" style="1641" customWidth="1"/>
    <col min="4867" max="4867" width="22.7109375" style="1641" customWidth="1"/>
    <col min="4868" max="4870" width="11" style="1641" customWidth="1"/>
    <col min="4871" max="4871" width="15.7109375" style="1641" customWidth="1"/>
    <col min="4872" max="4872" width="9.5703125" style="1641" bestFit="1" customWidth="1"/>
    <col min="4873" max="4873" width="9.28515625" style="1641" bestFit="1" customWidth="1"/>
    <col min="4874" max="5120" width="9.140625" style="1641"/>
    <col min="5121" max="5121" width="4.85546875" style="1641" customWidth="1"/>
    <col min="5122" max="5122" width="38.42578125" style="1641" customWidth="1"/>
    <col min="5123" max="5123" width="22.7109375" style="1641" customWidth="1"/>
    <col min="5124" max="5126" width="11" style="1641" customWidth="1"/>
    <col min="5127" max="5127" width="15.7109375" style="1641" customWidth="1"/>
    <col min="5128" max="5128" width="9.5703125" style="1641" bestFit="1" customWidth="1"/>
    <col min="5129" max="5129" width="9.28515625" style="1641" bestFit="1" customWidth="1"/>
    <col min="5130" max="5376" width="9.140625" style="1641"/>
    <col min="5377" max="5377" width="4.85546875" style="1641" customWidth="1"/>
    <col min="5378" max="5378" width="38.42578125" style="1641" customWidth="1"/>
    <col min="5379" max="5379" width="22.7109375" style="1641" customWidth="1"/>
    <col min="5380" max="5382" width="11" style="1641" customWidth="1"/>
    <col min="5383" max="5383" width="15.7109375" style="1641" customWidth="1"/>
    <col min="5384" max="5384" width="9.5703125" style="1641" bestFit="1" customWidth="1"/>
    <col min="5385" max="5385" width="9.28515625" style="1641" bestFit="1" customWidth="1"/>
    <col min="5386" max="5632" width="9.140625" style="1641"/>
    <col min="5633" max="5633" width="4.85546875" style="1641" customWidth="1"/>
    <col min="5634" max="5634" width="38.42578125" style="1641" customWidth="1"/>
    <col min="5635" max="5635" width="22.7109375" style="1641" customWidth="1"/>
    <col min="5636" max="5638" width="11" style="1641" customWidth="1"/>
    <col min="5639" max="5639" width="15.7109375" style="1641" customWidth="1"/>
    <col min="5640" max="5640" width="9.5703125" style="1641" bestFit="1" customWidth="1"/>
    <col min="5641" max="5641" width="9.28515625" style="1641" bestFit="1" customWidth="1"/>
    <col min="5642" max="5888" width="9.140625" style="1641"/>
    <col min="5889" max="5889" width="4.85546875" style="1641" customWidth="1"/>
    <col min="5890" max="5890" width="38.42578125" style="1641" customWidth="1"/>
    <col min="5891" max="5891" width="22.7109375" style="1641" customWidth="1"/>
    <col min="5892" max="5894" width="11" style="1641" customWidth="1"/>
    <col min="5895" max="5895" width="15.7109375" style="1641" customWidth="1"/>
    <col min="5896" max="5896" width="9.5703125" style="1641" bestFit="1" customWidth="1"/>
    <col min="5897" max="5897" width="9.28515625" style="1641" bestFit="1" customWidth="1"/>
    <col min="5898" max="6144" width="9.140625" style="1641"/>
    <col min="6145" max="6145" width="4.85546875" style="1641" customWidth="1"/>
    <col min="6146" max="6146" width="38.42578125" style="1641" customWidth="1"/>
    <col min="6147" max="6147" width="22.7109375" style="1641" customWidth="1"/>
    <col min="6148" max="6150" width="11" style="1641" customWidth="1"/>
    <col min="6151" max="6151" width="15.7109375" style="1641" customWidth="1"/>
    <col min="6152" max="6152" width="9.5703125" style="1641" bestFit="1" customWidth="1"/>
    <col min="6153" max="6153" width="9.28515625" style="1641" bestFit="1" customWidth="1"/>
    <col min="6154" max="6400" width="9.140625" style="1641"/>
    <col min="6401" max="6401" width="4.85546875" style="1641" customWidth="1"/>
    <col min="6402" max="6402" width="38.42578125" style="1641" customWidth="1"/>
    <col min="6403" max="6403" width="22.7109375" style="1641" customWidth="1"/>
    <col min="6404" max="6406" width="11" style="1641" customWidth="1"/>
    <col min="6407" max="6407" width="15.7109375" style="1641" customWidth="1"/>
    <col min="6408" max="6408" width="9.5703125" style="1641" bestFit="1" customWidth="1"/>
    <col min="6409" max="6409" width="9.28515625" style="1641" bestFit="1" customWidth="1"/>
    <col min="6410" max="6656" width="9.140625" style="1641"/>
    <col min="6657" max="6657" width="4.85546875" style="1641" customWidth="1"/>
    <col min="6658" max="6658" width="38.42578125" style="1641" customWidth="1"/>
    <col min="6659" max="6659" width="22.7109375" style="1641" customWidth="1"/>
    <col min="6660" max="6662" width="11" style="1641" customWidth="1"/>
    <col min="6663" max="6663" width="15.7109375" style="1641" customWidth="1"/>
    <col min="6664" max="6664" width="9.5703125" style="1641" bestFit="1" customWidth="1"/>
    <col min="6665" max="6665" width="9.28515625" style="1641" bestFit="1" customWidth="1"/>
    <col min="6666" max="6912" width="9.140625" style="1641"/>
    <col min="6913" max="6913" width="4.85546875" style="1641" customWidth="1"/>
    <col min="6914" max="6914" width="38.42578125" style="1641" customWidth="1"/>
    <col min="6915" max="6915" width="22.7109375" style="1641" customWidth="1"/>
    <col min="6916" max="6918" width="11" style="1641" customWidth="1"/>
    <col min="6919" max="6919" width="15.7109375" style="1641" customWidth="1"/>
    <col min="6920" max="6920" width="9.5703125" style="1641" bestFit="1" customWidth="1"/>
    <col min="6921" max="6921" width="9.28515625" style="1641" bestFit="1" customWidth="1"/>
    <col min="6922" max="7168" width="9.140625" style="1641"/>
    <col min="7169" max="7169" width="4.85546875" style="1641" customWidth="1"/>
    <col min="7170" max="7170" width="38.42578125" style="1641" customWidth="1"/>
    <col min="7171" max="7171" width="22.7109375" style="1641" customWidth="1"/>
    <col min="7172" max="7174" width="11" style="1641" customWidth="1"/>
    <col min="7175" max="7175" width="15.7109375" style="1641" customWidth="1"/>
    <col min="7176" max="7176" width="9.5703125" style="1641" bestFit="1" customWidth="1"/>
    <col min="7177" max="7177" width="9.28515625" style="1641" bestFit="1" customWidth="1"/>
    <col min="7178" max="7424" width="9.140625" style="1641"/>
    <col min="7425" max="7425" width="4.85546875" style="1641" customWidth="1"/>
    <col min="7426" max="7426" width="38.42578125" style="1641" customWidth="1"/>
    <col min="7427" max="7427" width="22.7109375" style="1641" customWidth="1"/>
    <col min="7428" max="7430" width="11" style="1641" customWidth="1"/>
    <col min="7431" max="7431" width="15.7109375" style="1641" customWidth="1"/>
    <col min="7432" max="7432" width="9.5703125" style="1641" bestFit="1" customWidth="1"/>
    <col min="7433" max="7433" width="9.28515625" style="1641" bestFit="1" customWidth="1"/>
    <col min="7434" max="7680" width="9.140625" style="1641"/>
    <col min="7681" max="7681" width="4.85546875" style="1641" customWidth="1"/>
    <col min="7682" max="7682" width="38.42578125" style="1641" customWidth="1"/>
    <col min="7683" max="7683" width="22.7109375" style="1641" customWidth="1"/>
    <col min="7684" max="7686" width="11" style="1641" customWidth="1"/>
    <col min="7687" max="7687" width="15.7109375" style="1641" customWidth="1"/>
    <col min="7688" max="7688" width="9.5703125" style="1641" bestFit="1" customWidth="1"/>
    <col min="7689" max="7689" width="9.28515625" style="1641" bestFit="1" customWidth="1"/>
    <col min="7690" max="7936" width="9.140625" style="1641"/>
    <col min="7937" max="7937" width="4.85546875" style="1641" customWidth="1"/>
    <col min="7938" max="7938" width="38.42578125" style="1641" customWidth="1"/>
    <col min="7939" max="7939" width="22.7109375" style="1641" customWidth="1"/>
    <col min="7940" max="7942" width="11" style="1641" customWidth="1"/>
    <col min="7943" max="7943" width="15.7109375" style="1641" customWidth="1"/>
    <col min="7944" max="7944" width="9.5703125" style="1641" bestFit="1" customWidth="1"/>
    <col min="7945" max="7945" width="9.28515625" style="1641" bestFit="1" customWidth="1"/>
    <col min="7946" max="8192" width="9.140625" style="1641"/>
    <col min="8193" max="8193" width="4.85546875" style="1641" customWidth="1"/>
    <col min="8194" max="8194" width="38.42578125" style="1641" customWidth="1"/>
    <col min="8195" max="8195" width="22.7109375" style="1641" customWidth="1"/>
    <col min="8196" max="8198" width="11" style="1641" customWidth="1"/>
    <col min="8199" max="8199" width="15.7109375" style="1641" customWidth="1"/>
    <col min="8200" max="8200" width="9.5703125" style="1641" bestFit="1" customWidth="1"/>
    <col min="8201" max="8201" width="9.28515625" style="1641" bestFit="1" customWidth="1"/>
    <col min="8202" max="8448" width="9.140625" style="1641"/>
    <col min="8449" max="8449" width="4.85546875" style="1641" customWidth="1"/>
    <col min="8450" max="8450" width="38.42578125" style="1641" customWidth="1"/>
    <col min="8451" max="8451" width="22.7109375" style="1641" customWidth="1"/>
    <col min="8452" max="8454" width="11" style="1641" customWidth="1"/>
    <col min="8455" max="8455" width="15.7109375" style="1641" customWidth="1"/>
    <col min="8456" max="8456" width="9.5703125" style="1641" bestFit="1" customWidth="1"/>
    <col min="8457" max="8457" width="9.28515625" style="1641" bestFit="1" customWidth="1"/>
    <col min="8458" max="8704" width="9.140625" style="1641"/>
    <col min="8705" max="8705" width="4.85546875" style="1641" customWidth="1"/>
    <col min="8706" max="8706" width="38.42578125" style="1641" customWidth="1"/>
    <col min="8707" max="8707" width="22.7109375" style="1641" customWidth="1"/>
    <col min="8708" max="8710" width="11" style="1641" customWidth="1"/>
    <col min="8711" max="8711" width="15.7109375" style="1641" customWidth="1"/>
    <col min="8712" max="8712" width="9.5703125" style="1641" bestFit="1" customWidth="1"/>
    <col min="8713" max="8713" width="9.28515625" style="1641" bestFit="1" customWidth="1"/>
    <col min="8714" max="8960" width="9.140625" style="1641"/>
    <col min="8961" max="8961" width="4.85546875" style="1641" customWidth="1"/>
    <col min="8962" max="8962" width="38.42578125" style="1641" customWidth="1"/>
    <col min="8963" max="8963" width="22.7109375" style="1641" customWidth="1"/>
    <col min="8964" max="8966" width="11" style="1641" customWidth="1"/>
    <col min="8967" max="8967" width="15.7109375" style="1641" customWidth="1"/>
    <col min="8968" max="8968" width="9.5703125" style="1641" bestFit="1" customWidth="1"/>
    <col min="8969" max="8969" width="9.28515625" style="1641" bestFit="1" customWidth="1"/>
    <col min="8970" max="9216" width="9.140625" style="1641"/>
    <col min="9217" max="9217" width="4.85546875" style="1641" customWidth="1"/>
    <col min="9218" max="9218" width="38.42578125" style="1641" customWidth="1"/>
    <col min="9219" max="9219" width="22.7109375" style="1641" customWidth="1"/>
    <col min="9220" max="9222" width="11" style="1641" customWidth="1"/>
    <col min="9223" max="9223" width="15.7109375" style="1641" customWidth="1"/>
    <col min="9224" max="9224" width="9.5703125" style="1641" bestFit="1" customWidth="1"/>
    <col min="9225" max="9225" width="9.28515625" style="1641" bestFit="1" customWidth="1"/>
    <col min="9226" max="9472" width="9.140625" style="1641"/>
    <col min="9473" max="9473" width="4.85546875" style="1641" customWidth="1"/>
    <col min="9474" max="9474" width="38.42578125" style="1641" customWidth="1"/>
    <col min="9475" max="9475" width="22.7109375" style="1641" customWidth="1"/>
    <col min="9476" max="9478" width="11" style="1641" customWidth="1"/>
    <col min="9479" max="9479" width="15.7109375" style="1641" customWidth="1"/>
    <col min="9480" max="9480" width="9.5703125" style="1641" bestFit="1" customWidth="1"/>
    <col min="9481" max="9481" width="9.28515625" style="1641" bestFit="1" customWidth="1"/>
    <col min="9482" max="9728" width="9.140625" style="1641"/>
    <col min="9729" max="9729" width="4.85546875" style="1641" customWidth="1"/>
    <col min="9730" max="9730" width="38.42578125" style="1641" customWidth="1"/>
    <col min="9731" max="9731" width="22.7109375" style="1641" customWidth="1"/>
    <col min="9732" max="9734" width="11" style="1641" customWidth="1"/>
    <col min="9735" max="9735" width="15.7109375" style="1641" customWidth="1"/>
    <col min="9736" max="9736" width="9.5703125" style="1641" bestFit="1" customWidth="1"/>
    <col min="9737" max="9737" width="9.28515625" style="1641" bestFit="1" customWidth="1"/>
    <col min="9738" max="9984" width="9.140625" style="1641"/>
    <col min="9985" max="9985" width="4.85546875" style="1641" customWidth="1"/>
    <col min="9986" max="9986" width="38.42578125" style="1641" customWidth="1"/>
    <col min="9987" max="9987" width="22.7109375" style="1641" customWidth="1"/>
    <col min="9988" max="9990" width="11" style="1641" customWidth="1"/>
    <col min="9991" max="9991" width="15.7109375" style="1641" customWidth="1"/>
    <col min="9992" max="9992" width="9.5703125" style="1641" bestFit="1" customWidth="1"/>
    <col min="9993" max="9993" width="9.28515625" style="1641" bestFit="1" customWidth="1"/>
    <col min="9994" max="10240" width="9.140625" style="1641"/>
    <col min="10241" max="10241" width="4.85546875" style="1641" customWidth="1"/>
    <col min="10242" max="10242" width="38.42578125" style="1641" customWidth="1"/>
    <col min="10243" max="10243" width="22.7109375" style="1641" customWidth="1"/>
    <col min="10244" max="10246" width="11" style="1641" customWidth="1"/>
    <col min="10247" max="10247" width="15.7109375" style="1641" customWidth="1"/>
    <col min="10248" max="10248" width="9.5703125" style="1641" bestFit="1" customWidth="1"/>
    <col min="10249" max="10249" width="9.28515625" style="1641" bestFit="1" customWidth="1"/>
    <col min="10250" max="10496" width="9.140625" style="1641"/>
    <col min="10497" max="10497" width="4.85546875" style="1641" customWidth="1"/>
    <col min="10498" max="10498" width="38.42578125" style="1641" customWidth="1"/>
    <col min="10499" max="10499" width="22.7109375" style="1641" customWidth="1"/>
    <col min="10500" max="10502" width="11" style="1641" customWidth="1"/>
    <col min="10503" max="10503" width="15.7109375" style="1641" customWidth="1"/>
    <col min="10504" max="10504" width="9.5703125" style="1641" bestFit="1" customWidth="1"/>
    <col min="10505" max="10505" width="9.28515625" style="1641" bestFit="1" customWidth="1"/>
    <col min="10506" max="10752" width="9.140625" style="1641"/>
    <col min="10753" max="10753" width="4.85546875" style="1641" customWidth="1"/>
    <col min="10754" max="10754" width="38.42578125" style="1641" customWidth="1"/>
    <col min="10755" max="10755" width="22.7109375" style="1641" customWidth="1"/>
    <col min="10756" max="10758" width="11" style="1641" customWidth="1"/>
    <col min="10759" max="10759" width="15.7109375" style="1641" customWidth="1"/>
    <col min="10760" max="10760" width="9.5703125" style="1641" bestFit="1" customWidth="1"/>
    <col min="10761" max="10761" width="9.28515625" style="1641" bestFit="1" customWidth="1"/>
    <col min="10762" max="11008" width="9.140625" style="1641"/>
    <col min="11009" max="11009" width="4.85546875" style="1641" customWidth="1"/>
    <col min="11010" max="11010" width="38.42578125" style="1641" customWidth="1"/>
    <col min="11011" max="11011" width="22.7109375" style="1641" customWidth="1"/>
    <col min="11012" max="11014" width="11" style="1641" customWidth="1"/>
    <col min="11015" max="11015" width="15.7109375" style="1641" customWidth="1"/>
    <col min="11016" max="11016" width="9.5703125" style="1641" bestFit="1" customWidth="1"/>
    <col min="11017" max="11017" width="9.28515625" style="1641" bestFit="1" customWidth="1"/>
    <col min="11018" max="11264" width="9.140625" style="1641"/>
    <col min="11265" max="11265" width="4.85546875" style="1641" customWidth="1"/>
    <col min="11266" max="11266" width="38.42578125" style="1641" customWidth="1"/>
    <col min="11267" max="11267" width="22.7109375" style="1641" customWidth="1"/>
    <col min="11268" max="11270" width="11" style="1641" customWidth="1"/>
    <col min="11271" max="11271" width="15.7109375" style="1641" customWidth="1"/>
    <col min="11272" max="11272" width="9.5703125" style="1641" bestFit="1" customWidth="1"/>
    <col min="11273" max="11273" width="9.28515625" style="1641" bestFit="1" customWidth="1"/>
    <col min="11274" max="11520" width="9.140625" style="1641"/>
    <col min="11521" max="11521" width="4.85546875" style="1641" customWidth="1"/>
    <col min="11522" max="11522" width="38.42578125" style="1641" customWidth="1"/>
    <col min="11523" max="11523" width="22.7109375" style="1641" customWidth="1"/>
    <col min="11524" max="11526" width="11" style="1641" customWidth="1"/>
    <col min="11527" max="11527" width="15.7109375" style="1641" customWidth="1"/>
    <col min="11528" max="11528" width="9.5703125" style="1641" bestFit="1" customWidth="1"/>
    <col min="11529" max="11529" width="9.28515625" style="1641" bestFit="1" customWidth="1"/>
    <col min="11530" max="11776" width="9.140625" style="1641"/>
    <col min="11777" max="11777" width="4.85546875" style="1641" customWidth="1"/>
    <col min="11778" max="11778" width="38.42578125" style="1641" customWidth="1"/>
    <col min="11779" max="11779" width="22.7109375" style="1641" customWidth="1"/>
    <col min="11780" max="11782" width="11" style="1641" customWidth="1"/>
    <col min="11783" max="11783" width="15.7109375" style="1641" customWidth="1"/>
    <col min="11784" max="11784" width="9.5703125" style="1641" bestFit="1" customWidth="1"/>
    <col min="11785" max="11785" width="9.28515625" style="1641" bestFit="1" customWidth="1"/>
    <col min="11786" max="12032" width="9.140625" style="1641"/>
    <col min="12033" max="12033" width="4.85546875" style="1641" customWidth="1"/>
    <col min="12034" max="12034" width="38.42578125" style="1641" customWidth="1"/>
    <col min="12035" max="12035" width="22.7109375" style="1641" customWidth="1"/>
    <col min="12036" max="12038" width="11" style="1641" customWidth="1"/>
    <col min="12039" max="12039" width="15.7109375" style="1641" customWidth="1"/>
    <col min="12040" max="12040" width="9.5703125" style="1641" bestFit="1" customWidth="1"/>
    <col min="12041" max="12041" width="9.28515625" style="1641" bestFit="1" customWidth="1"/>
    <col min="12042" max="12288" width="9.140625" style="1641"/>
    <col min="12289" max="12289" width="4.85546875" style="1641" customWidth="1"/>
    <col min="12290" max="12290" width="38.42578125" style="1641" customWidth="1"/>
    <col min="12291" max="12291" width="22.7109375" style="1641" customWidth="1"/>
    <col min="12292" max="12294" width="11" style="1641" customWidth="1"/>
    <col min="12295" max="12295" width="15.7109375" style="1641" customWidth="1"/>
    <col min="12296" max="12296" width="9.5703125" style="1641" bestFit="1" customWidth="1"/>
    <col min="12297" max="12297" width="9.28515625" style="1641" bestFit="1" customWidth="1"/>
    <col min="12298" max="12544" width="9.140625" style="1641"/>
    <col min="12545" max="12545" width="4.85546875" style="1641" customWidth="1"/>
    <col min="12546" max="12546" width="38.42578125" style="1641" customWidth="1"/>
    <col min="12547" max="12547" width="22.7109375" style="1641" customWidth="1"/>
    <col min="12548" max="12550" width="11" style="1641" customWidth="1"/>
    <col min="12551" max="12551" width="15.7109375" style="1641" customWidth="1"/>
    <col min="12552" max="12552" width="9.5703125" style="1641" bestFit="1" customWidth="1"/>
    <col min="12553" max="12553" width="9.28515625" style="1641" bestFit="1" customWidth="1"/>
    <col min="12554" max="12800" width="9.140625" style="1641"/>
    <col min="12801" max="12801" width="4.85546875" style="1641" customWidth="1"/>
    <col min="12802" max="12802" width="38.42578125" style="1641" customWidth="1"/>
    <col min="12803" max="12803" width="22.7109375" style="1641" customWidth="1"/>
    <col min="12804" max="12806" width="11" style="1641" customWidth="1"/>
    <col min="12807" max="12807" width="15.7109375" style="1641" customWidth="1"/>
    <col min="12808" max="12808" width="9.5703125" style="1641" bestFit="1" customWidth="1"/>
    <col min="12809" max="12809" width="9.28515625" style="1641" bestFit="1" customWidth="1"/>
    <col min="12810" max="13056" width="9.140625" style="1641"/>
    <col min="13057" max="13057" width="4.85546875" style="1641" customWidth="1"/>
    <col min="13058" max="13058" width="38.42578125" style="1641" customWidth="1"/>
    <col min="13059" max="13059" width="22.7109375" style="1641" customWidth="1"/>
    <col min="13060" max="13062" width="11" style="1641" customWidth="1"/>
    <col min="13063" max="13063" width="15.7109375" style="1641" customWidth="1"/>
    <col min="13064" max="13064" width="9.5703125" style="1641" bestFit="1" customWidth="1"/>
    <col min="13065" max="13065" width="9.28515625" style="1641" bestFit="1" customWidth="1"/>
    <col min="13066" max="13312" width="9.140625" style="1641"/>
    <col min="13313" max="13313" width="4.85546875" style="1641" customWidth="1"/>
    <col min="13314" max="13314" width="38.42578125" style="1641" customWidth="1"/>
    <col min="13315" max="13315" width="22.7109375" style="1641" customWidth="1"/>
    <col min="13316" max="13318" width="11" style="1641" customWidth="1"/>
    <col min="13319" max="13319" width="15.7109375" style="1641" customWidth="1"/>
    <col min="13320" max="13320" width="9.5703125" style="1641" bestFit="1" customWidth="1"/>
    <col min="13321" max="13321" width="9.28515625" style="1641" bestFit="1" customWidth="1"/>
    <col min="13322" max="13568" width="9.140625" style="1641"/>
    <col min="13569" max="13569" width="4.85546875" style="1641" customWidth="1"/>
    <col min="13570" max="13570" width="38.42578125" style="1641" customWidth="1"/>
    <col min="13571" max="13571" width="22.7109375" style="1641" customWidth="1"/>
    <col min="13572" max="13574" width="11" style="1641" customWidth="1"/>
    <col min="13575" max="13575" width="15.7109375" style="1641" customWidth="1"/>
    <col min="13576" max="13576" width="9.5703125" style="1641" bestFit="1" customWidth="1"/>
    <col min="13577" max="13577" width="9.28515625" style="1641" bestFit="1" customWidth="1"/>
    <col min="13578" max="13824" width="9.140625" style="1641"/>
    <col min="13825" max="13825" width="4.85546875" style="1641" customWidth="1"/>
    <col min="13826" max="13826" width="38.42578125" style="1641" customWidth="1"/>
    <col min="13827" max="13827" width="22.7109375" style="1641" customWidth="1"/>
    <col min="13828" max="13830" width="11" style="1641" customWidth="1"/>
    <col min="13831" max="13831" width="15.7109375" style="1641" customWidth="1"/>
    <col min="13832" max="13832" width="9.5703125" style="1641" bestFit="1" customWidth="1"/>
    <col min="13833" max="13833" width="9.28515625" style="1641" bestFit="1" customWidth="1"/>
    <col min="13834" max="14080" width="9.140625" style="1641"/>
    <col min="14081" max="14081" width="4.85546875" style="1641" customWidth="1"/>
    <col min="14082" max="14082" width="38.42578125" style="1641" customWidth="1"/>
    <col min="14083" max="14083" width="22.7109375" style="1641" customWidth="1"/>
    <col min="14084" max="14086" width="11" style="1641" customWidth="1"/>
    <col min="14087" max="14087" width="15.7109375" style="1641" customWidth="1"/>
    <col min="14088" max="14088" width="9.5703125" style="1641" bestFit="1" customWidth="1"/>
    <col min="14089" max="14089" width="9.28515625" style="1641" bestFit="1" customWidth="1"/>
    <col min="14090" max="14336" width="9.140625" style="1641"/>
    <col min="14337" max="14337" width="4.85546875" style="1641" customWidth="1"/>
    <col min="14338" max="14338" width="38.42578125" style="1641" customWidth="1"/>
    <col min="14339" max="14339" width="22.7109375" style="1641" customWidth="1"/>
    <col min="14340" max="14342" width="11" style="1641" customWidth="1"/>
    <col min="14343" max="14343" width="15.7109375" style="1641" customWidth="1"/>
    <col min="14344" max="14344" width="9.5703125" style="1641" bestFit="1" customWidth="1"/>
    <col min="14345" max="14345" width="9.28515625" style="1641" bestFit="1" customWidth="1"/>
    <col min="14346" max="14592" width="9.140625" style="1641"/>
    <col min="14593" max="14593" width="4.85546875" style="1641" customWidth="1"/>
    <col min="14594" max="14594" width="38.42578125" style="1641" customWidth="1"/>
    <col min="14595" max="14595" width="22.7109375" style="1641" customWidth="1"/>
    <col min="14596" max="14598" width="11" style="1641" customWidth="1"/>
    <col min="14599" max="14599" width="15.7109375" style="1641" customWidth="1"/>
    <col min="14600" max="14600" width="9.5703125" style="1641" bestFit="1" customWidth="1"/>
    <col min="14601" max="14601" width="9.28515625" style="1641" bestFit="1" customWidth="1"/>
    <col min="14602" max="14848" width="9.140625" style="1641"/>
    <col min="14849" max="14849" width="4.85546875" style="1641" customWidth="1"/>
    <col min="14850" max="14850" width="38.42578125" style="1641" customWidth="1"/>
    <col min="14851" max="14851" width="22.7109375" style="1641" customWidth="1"/>
    <col min="14852" max="14854" width="11" style="1641" customWidth="1"/>
    <col min="14855" max="14855" width="15.7109375" style="1641" customWidth="1"/>
    <col min="14856" max="14856" width="9.5703125" style="1641" bestFit="1" customWidth="1"/>
    <col min="14857" max="14857" width="9.28515625" style="1641" bestFit="1" customWidth="1"/>
    <col min="14858" max="15104" width="9.140625" style="1641"/>
    <col min="15105" max="15105" width="4.85546875" style="1641" customWidth="1"/>
    <col min="15106" max="15106" width="38.42578125" style="1641" customWidth="1"/>
    <col min="15107" max="15107" width="22.7109375" style="1641" customWidth="1"/>
    <col min="15108" max="15110" width="11" style="1641" customWidth="1"/>
    <col min="15111" max="15111" width="15.7109375" style="1641" customWidth="1"/>
    <col min="15112" max="15112" width="9.5703125" style="1641" bestFit="1" customWidth="1"/>
    <col min="15113" max="15113" width="9.28515625" style="1641" bestFit="1" customWidth="1"/>
    <col min="15114" max="15360" width="9.140625" style="1641"/>
    <col min="15361" max="15361" width="4.85546875" style="1641" customWidth="1"/>
    <col min="15362" max="15362" width="38.42578125" style="1641" customWidth="1"/>
    <col min="15363" max="15363" width="22.7109375" style="1641" customWidth="1"/>
    <col min="15364" max="15366" width="11" style="1641" customWidth="1"/>
    <col min="15367" max="15367" width="15.7109375" style="1641" customWidth="1"/>
    <col min="15368" max="15368" width="9.5703125" style="1641" bestFit="1" customWidth="1"/>
    <col min="15369" max="15369" width="9.28515625" style="1641" bestFit="1" customWidth="1"/>
    <col min="15370" max="15616" width="9.140625" style="1641"/>
    <col min="15617" max="15617" width="4.85546875" style="1641" customWidth="1"/>
    <col min="15618" max="15618" width="38.42578125" style="1641" customWidth="1"/>
    <col min="15619" max="15619" width="22.7109375" style="1641" customWidth="1"/>
    <col min="15620" max="15622" width="11" style="1641" customWidth="1"/>
    <col min="15623" max="15623" width="15.7109375" style="1641" customWidth="1"/>
    <col min="15624" max="15624" width="9.5703125" style="1641" bestFit="1" customWidth="1"/>
    <col min="15625" max="15625" width="9.28515625" style="1641" bestFit="1" customWidth="1"/>
    <col min="15626" max="15872" width="9.140625" style="1641"/>
    <col min="15873" max="15873" width="4.85546875" style="1641" customWidth="1"/>
    <col min="15874" max="15874" width="38.42578125" style="1641" customWidth="1"/>
    <col min="15875" max="15875" width="22.7109375" style="1641" customWidth="1"/>
    <col min="15876" max="15878" width="11" style="1641" customWidth="1"/>
    <col min="15879" max="15879" width="15.7109375" style="1641" customWidth="1"/>
    <col min="15880" max="15880" width="9.5703125" style="1641" bestFit="1" customWidth="1"/>
    <col min="15881" max="15881" width="9.28515625" style="1641" bestFit="1" customWidth="1"/>
    <col min="15882" max="16128" width="9.140625" style="1641"/>
    <col min="16129" max="16129" width="4.85546875" style="1641" customWidth="1"/>
    <col min="16130" max="16130" width="38.42578125" style="1641" customWidth="1"/>
    <col min="16131" max="16131" width="22.7109375" style="1641" customWidth="1"/>
    <col min="16132" max="16134" width="11" style="1641" customWidth="1"/>
    <col min="16135" max="16135" width="15.7109375" style="1641" customWidth="1"/>
    <col min="16136" max="16136" width="9.5703125" style="1641" bestFit="1" customWidth="1"/>
    <col min="16137" max="16137" width="9.28515625" style="1641" bestFit="1" customWidth="1"/>
    <col min="16138" max="16384" width="9.140625" style="1641"/>
  </cols>
  <sheetData>
    <row r="1" spans="1:256" s="1603" customFormat="1" ht="18" customHeight="1" x14ac:dyDescent="0.2">
      <c r="D1" s="1604"/>
      <c r="E1" s="1604"/>
      <c r="F1" s="1604"/>
      <c r="G1" s="1604"/>
      <c r="J1" s="1633"/>
      <c r="K1" s="1633"/>
      <c r="N1" s="1634"/>
      <c r="O1" s="1634"/>
      <c r="P1" s="1635"/>
      <c r="Q1" s="1636"/>
      <c r="R1" s="1504"/>
      <c r="S1" s="1636"/>
      <c r="T1" s="1635"/>
    </row>
    <row r="2" spans="1:256" s="1279" customFormat="1" ht="18" customHeight="1" x14ac:dyDescent="0.2">
      <c r="A2" s="1603"/>
      <c r="B2" s="1603"/>
      <c r="C2" s="1603"/>
      <c r="D2" s="56"/>
      <c r="E2" s="1637"/>
      <c r="F2" s="1638"/>
      <c r="G2" s="1605"/>
      <c r="I2" s="1639"/>
      <c r="J2" s="1640"/>
      <c r="K2" s="1640"/>
    </row>
    <row r="3" spans="1:256" s="1603" customFormat="1" ht="18" customHeight="1" x14ac:dyDescent="0.2">
      <c r="D3" s="56"/>
      <c r="E3" s="1637"/>
      <c r="F3" s="1638"/>
      <c r="G3" s="1605"/>
      <c r="I3" s="1639"/>
      <c r="J3" s="1640"/>
      <c r="K3" s="1640"/>
      <c r="N3" s="1634"/>
      <c r="O3" s="1634"/>
      <c r="P3" s="1635"/>
      <c r="Q3" s="1636"/>
      <c r="R3" s="1504"/>
      <c r="S3" s="1636"/>
      <c r="T3" s="1635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71" t="s">
        <v>685</v>
      </c>
      <c r="B5" s="2271"/>
      <c r="C5" s="2271"/>
      <c r="D5" s="2271"/>
      <c r="E5" s="2271"/>
      <c r="F5" s="2271"/>
      <c r="G5" s="2271"/>
      <c r="H5" s="253"/>
    </row>
    <row r="6" spans="1:256" s="1644" customFormat="1" ht="27.75" hidden="1" customHeight="1" x14ac:dyDescent="0.2">
      <c r="A6" s="2268" t="s">
        <v>681</v>
      </c>
      <c r="B6" s="2268"/>
      <c r="C6" s="2268"/>
      <c r="D6" s="2268"/>
      <c r="E6" s="2268"/>
      <c r="F6" s="2268"/>
      <c r="G6" s="2268"/>
      <c r="H6" s="1642"/>
      <c r="I6" s="1643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9"/>
      <c r="Y6" s="2270"/>
      <c r="Z6" s="2269"/>
      <c r="AA6" s="2269"/>
      <c r="AB6" s="2269"/>
      <c r="AC6" s="2269"/>
      <c r="AD6" s="2269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61" t="str">
        <f>' ССР (нов)'!A6:G6</f>
        <v xml:space="preserve">Перекладка теплового ввода </v>
      </c>
      <c r="B7" s="2262"/>
      <c r="C7" s="2262"/>
      <c r="D7" s="2262"/>
      <c r="E7" s="2262"/>
      <c r="F7" s="2262"/>
      <c r="G7" s="2262"/>
      <c r="H7" s="42"/>
    </row>
    <row r="8" spans="1:256" s="41" customFormat="1" ht="30" customHeight="1" x14ac:dyDescent="0.2">
      <c r="A8" s="2266" t="str">
        <f>' ССР (нов)'!A7:G7</f>
        <v>г. Москва , ул. Гамалеи д.11к.1</v>
      </c>
      <c r="B8" s="2265"/>
      <c r="C8" s="2265"/>
      <c r="D8" s="2265"/>
      <c r="E8" s="2265"/>
      <c r="F8" s="2265"/>
      <c r="G8" s="2265"/>
    </row>
    <row r="9" spans="1:256" s="1644" customFormat="1" ht="27.75" customHeight="1" x14ac:dyDescent="0.2">
      <c r="A9" s="2268" t="s">
        <v>681</v>
      </c>
      <c r="B9" s="2268"/>
      <c r="C9" s="2268"/>
      <c r="D9" s="2268"/>
      <c r="E9" s="2268"/>
      <c r="F9" s="2268"/>
      <c r="G9" s="2268"/>
      <c r="H9" s="1642"/>
      <c r="I9" s="1643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9"/>
      <c r="Y9" s="2270"/>
      <c r="Z9" s="2269"/>
      <c r="AA9" s="2269"/>
      <c r="AB9" s="2269"/>
      <c r="AC9" s="2269"/>
      <c r="AD9" s="2269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7" t="s">
        <v>69</v>
      </c>
      <c r="B10" s="2267"/>
      <c r="C10" s="2267"/>
      <c r="D10" s="2267"/>
      <c r="E10" s="2267"/>
      <c r="F10" s="2267"/>
      <c r="G10" s="2267"/>
    </row>
    <row r="11" spans="1:256" ht="15.75" x14ac:dyDescent="0.2">
      <c r="A11" s="1612"/>
      <c r="B11" s="1612" t="s">
        <v>682</v>
      </c>
      <c r="C11" s="1612"/>
      <c r="D11" s="1612"/>
      <c r="E11" s="1612"/>
      <c r="F11" s="1612"/>
      <c r="G11" s="1612"/>
    </row>
    <row r="12" spans="1:256" ht="76.5" x14ac:dyDescent="0.2">
      <c r="A12" s="1613" t="s">
        <v>19</v>
      </c>
      <c r="B12" s="1614" t="s">
        <v>20</v>
      </c>
      <c r="C12" s="1614" t="s">
        <v>71</v>
      </c>
      <c r="D12" s="1615" t="s">
        <v>70</v>
      </c>
      <c r="E12" s="1614" t="s">
        <v>21</v>
      </c>
      <c r="F12" s="1614" t="s">
        <v>22</v>
      </c>
      <c r="G12" s="1614" t="s">
        <v>23</v>
      </c>
    </row>
    <row r="13" spans="1:256" ht="15.75" x14ac:dyDescent="0.2">
      <c r="A13" s="1616"/>
      <c r="B13" s="1616" t="s">
        <v>24</v>
      </c>
      <c r="C13" s="1616"/>
      <c r="D13" s="1645"/>
      <c r="E13" s="1645" t="s">
        <v>25</v>
      </c>
      <c r="F13" s="1618">
        <f>Т.с.!C17</f>
        <v>17</v>
      </c>
      <c r="G13" s="1645"/>
      <c r="H13" s="1646"/>
    </row>
    <row r="14" spans="1:256" ht="67.5" customHeight="1" x14ac:dyDescent="0.2">
      <c r="A14" s="1616"/>
      <c r="B14" s="1619" t="s">
        <v>26</v>
      </c>
      <c r="C14" s="1616"/>
      <c r="D14" s="1645"/>
      <c r="E14" s="1645"/>
      <c r="F14" s="1647"/>
      <c r="G14" s="1645"/>
    </row>
    <row r="15" spans="1:256" ht="27" customHeight="1" x14ac:dyDescent="0.2">
      <c r="A15" s="1616"/>
      <c r="B15" s="1616" t="s">
        <v>27</v>
      </c>
      <c r="C15" s="1616" t="s">
        <v>28</v>
      </c>
      <c r="D15" s="1622">
        <v>522</v>
      </c>
      <c r="E15" s="1645"/>
      <c r="F15" s="1647">
        <f>F13</f>
        <v>17</v>
      </c>
      <c r="G15" s="1648">
        <f>ROUND(D15*F13,0)</f>
        <v>8874</v>
      </c>
    </row>
    <row r="16" spans="1:256" ht="87" hidden="1" customHeight="1" x14ac:dyDescent="0.2">
      <c r="A16" s="1616"/>
      <c r="B16" s="1619" t="s">
        <v>29</v>
      </c>
      <c r="C16" s="1616" t="s">
        <v>30</v>
      </c>
      <c r="D16" s="1645">
        <v>1.1499999999999999</v>
      </c>
      <c r="E16" s="1645"/>
      <c r="F16" s="1647"/>
      <c r="G16" s="1622">
        <v>0</v>
      </c>
      <c r="H16" s="1646"/>
    </row>
    <row r="17" spans="1:8" s="41" customFormat="1" ht="45" x14ac:dyDescent="0.2">
      <c r="A17" s="241"/>
      <c r="B17" s="240" t="s">
        <v>29</v>
      </c>
      <c r="C17" s="241" t="s">
        <v>30</v>
      </c>
      <c r="D17" s="242">
        <v>1.1499999999999999</v>
      </c>
      <c r="E17" s="241"/>
      <c r="F17" s="244"/>
      <c r="G17" s="247">
        <f>G15*D17</f>
        <v>10205.099999999999</v>
      </c>
      <c r="H17" s="42"/>
    </row>
    <row r="18" spans="1:8" s="41" customFormat="1" ht="15.75" x14ac:dyDescent="0.2">
      <c r="A18" s="241"/>
      <c r="B18" s="252" t="s">
        <v>303</v>
      </c>
      <c r="C18" s="241"/>
      <c r="D18" s="242"/>
      <c r="E18" s="241"/>
      <c r="F18" s="244"/>
      <c r="G18" s="249">
        <f>G17</f>
        <v>10205.099999999999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630</v>
      </c>
      <c r="C20" s="241"/>
      <c r="D20" s="242"/>
      <c r="E20" s="241"/>
      <c r="F20" s="244"/>
      <c r="G20" s="249">
        <f>G18</f>
        <v>10205.099999999999</v>
      </c>
      <c r="H20" s="57"/>
    </row>
    <row r="23" spans="1:8" s="1628" customFormat="1" ht="15" x14ac:dyDescent="0.2">
      <c r="A23" s="1627"/>
      <c r="C23" s="1627"/>
      <c r="D23" s="1627"/>
      <c r="E23" s="1627"/>
      <c r="F23" s="1629"/>
      <c r="G23" s="1627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workbookViewId="0">
      <selection activeCell="A8" sqref="A8:G8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2" t="s">
        <v>685</v>
      </c>
      <c r="B5" s="2272"/>
      <c r="C5" s="2272"/>
      <c r="D5" s="2272"/>
      <c r="E5" s="2272"/>
      <c r="F5" s="2272"/>
      <c r="G5" s="2272"/>
    </row>
    <row r="6" spans="1:231" s="1611" customFormat="1" ht="27.75" hidden="1" customHeight="1" x14ac:dyDescent="0.2">
      <c r="A6" s="2273" t="s">
        <v>680</v>
      </c>
      <c r="B6" s="2273"/>
      <c r="C6" s="2273"/>
      <c r="D6" s="2273"/>
      <c r="E6" s="2273"/>
      <c r="F6" s="2273"/>
      <c r="G6" s="2273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61" t="str">
        <f>' ССР (нов)'!A6:G6</f>
        <v xml:space="preserve">Перекладка теплового ввода </v>
      </c>
      <c r="B7" s="2262"/>
      <c r="C7" s="2262"/>
      <c r="D7" s="2262"/>
      <c r="E7" s="2262"/>
      <c r="F7" s="2262"/>
      <c r="G7" s="2262"/>
      <c r="H7" s="42"/>
    </row>
    <row r="8" spans="1:231" s="41" customFormat="1" ht="30" customHeight="1" x14ac:dyDescent="0.2">
      <c r="A8" s="2266" t="str">
        <f>' ССР (нов)'!A7:G7</f>
        <v>г. Москва , ул. Гамалеи д.11к.1</v>
      </c>
      <c r="B8" s="2265"/>
      <c r="C8" s="2265"/>
      <c r="D8" s="2265"/>
      <c r="E8" s="2265"/>
      <c r="F8" s="2265"/>
      <c r="G8" s="2265"/>
    </row>
    <row r="9" spans="1:231" s="1611" customFormat="1" ht="27.75" customHeight="1" x14ac:dyDescent="0.2">
      <c r="A9" s="2273" t="s">
        <v>680</v>
      </c>
      <c r="B9" s="2273"/>
      <c r="C9" s="2273"/>
      <c r="D9" s="2273"/>
      <c r="E9" s="2273"/>
      <c r="F9" s="2273"/>
      <c r="G9" s="2273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7" t="s">
        <v>69</v>
      </c>
      <c r="B10" s="2267"/>
      <c r="C10" s="2267"/>
      <c r="D10" s="2267"/>
      <c r="E10" s="2267"/>
      <c r="F10" s="2267"/>
      <c r="G10" s="2267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682</v>
      </c>
    </row>
    <row r="13" spans="1:231" ht="76.5" x14ac:dyDescent="0.2">
      <c r="A13" s="1613" t="s">
        <v>19</v>
      </c>
      <c r="B13" s="1614" t="s">
        <v>20</v>
      </c>
      <c r="C13" s="1614" t="s">
        <v>71</v>
      </c>
      <c r="D13" s="1615" t="s">
        <v>70</v>
      </c>
      <c r="E13" s="1614" t="s">
        <v>21</v>
      </c>
      <c r="F13" s="1614" t="s">
        <v>22</v>
      </c>
      <c r="G13" s="1614" t="s">
        <v>23</v>
      </c>
    </row>
    <row r="14" spans="1:231" ht="15.75" x14ac:dyDescent="0.2">
      <c r="A14" s="1616"/>
      <c r="B14" s="1616" t="s">
        <v>24</v>
      </c>
      <c r="C14" s="1616"/>
      <c r="D14" s="1617"/>
      <c r="E14" s="1616" t="s">
        <v>25</v>
      </c>
      <c r="F14" s="1618">
        <f>Т.с.!C17</f>
        <v>17</v>
      </c>
      <c r="G14" s="1616"/>
    </row>
    <row r="15" spans="1:231" ht="67.5" customHeight="1" x14ac:dyDescent="0.2">
      <c r="A15" s="1616"/>
      <c r="B15" s="1619" t="s">
        <v>26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27</v>
      </c>
      <c r="C16" s="1616" t="s">
        <v>28</v>
      </c>
      <c r="D16" s="1621">
        <v>178</v>
      </c>
      <c r="E16" s="1622"/>
      <c r="F16" s="1623">
        <f>F14</f>
        <v>17</v>
      </c>
      <c r="G16" s="1624">
        <f>ROUND(D16*F16,0)</f>
        <v>3026</v>
      </c>
    </row>
    <row r="17" spans="1:8" ht="87" hidden="1" customHeight="1" x14ac:dyDescent="0.2">
      <c r="A17" s="1616"/>
      <c r="B17" s="1619" t="s">
        <v>29</v>
      </c>
      <c r="C17" s="1616" t="s">
        <v>30</v>
      </c>
      <c r="D17" s="1625">
        <v>0</v>
      </c>
      <c r="E17" s="1616"/>
      <c r="F17" s="1620"/>
      <c r="G17" s="1626">
        <f>ROUND(G16*D17,0)</f>
        <v>0</v>
      </c>
    </row>
    <row r="18" spans="1:8" s="41" customFormat="1" ht="45" x14ac:dyDescent="0.2">
      <c r="A18" s="241"/>
      <c r="B18" s="240" t="s">
        <v>29</v>
      </c>
      <c r="C18" s="241" t="s">
        <v>30</v>
      </c>
      <c r="D18" s="242">
        <v>1.1499999999999999</v>
      </c>
      <c r="E18" s="241"/>
      <c r="F18" s="244"/>
      <c r="G18" s="247">
        <f>G16*D18</f>
        <v>3479.8999999999996</v>
      </c>
      <c r="H18" s="42"/>
    </row>
    <row r="19" spans="1:8" s="41" customFormat="1" ht="15.75" x14ac:dyDescent="0.2">
      <c r="A19" s="241"/>
      <c r="B19" s="252" t="s">
        <v>303</v>
      </c>
      <c r="C19" s="241"/>
      <c r="D19" s="242"/>
      <c r="E19" s="241"/>
      <c r="F19" s="244"/>
      <c r="G19" s="249">
        <f>G18</f>
        <v>3479.8999999999996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630</v>
      </c>
      <c r="C21" s="241"/>
      <c r="D21" s="242"/>
      <c r="E21" s="241"/>
      <c r="F21" s="244"/>
      <c r="G21" s="249">
        <f>G19</f>
        <v>3479.8999999999996</v>
      </c>
      <c r="H21" s="57"/>
    </row>
    <row r="22" spans="1:8" s="1628" customFormat="1" ht="15" x14ac:dyDescent="0.2">
      <c r="A22" s="1627"/>
      <c r="C22" s="1627"/>
      <c r="D22" s="1627"/>
      <c r="E22" s="1627"/>
      <c r="F22" s="1629"/>
      <c r="G22" s="1627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8" customWidth="1"/>
    <col min="3" max="3" width="11.42578125" style="580" hidden="1" customWidth="1"/>
    <col min="4" max="4" width="9.7109375" style="1690" customWidth="1"/>
    <col min="5" max="5" width="21.140625" style="1691" customWidth="1"/>
    <col min="6" max="6" width="18" style="580" customWidth="1"/>
    <col min="7" max="7" width="14.85546875" style="1668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4" customFormat="1" ht="18.75" customHeight="1" x14ac:dyDescent="0.2">
      <c r="B1" s="1655"/>
      <c r="D1" s="1656"/>
      <c r="E1" s="1657"/>
      <c r="F1" s="484"/>
      <c r="G1" s="1655"/>
    </row>
    <row r="2" spans="1:19" s="1654" customFormat="1" ht="18.75" customHeight="1" x14ac:dyDescent="0.2">
      <c r="B2" s="1655"/>
      <c r="D2" s="1656"/>
      <c r="E2" s="2277"/>
      <c r="F2" s="2277"/>
      <c r="G2" s="1655"/>
    </row>
    <row r="3" spans="1:19" s="1654" customFormat="1" ht="18.75" customHeight="1" x14ac:dyDescent="0.2">
      <c r="B3" s="1655"/>
      <c r="D3" s="1656"/>
      <c r="E3" s="2278"/>
      <c r="F3" s="2279"/>
      <c r="G3" s="1655"/>
    </row>
    <row r="4" spans="1:19" s="1654" customFormat="1" ht="15.75" customHeight="1" x14ac:dyDescent="0.2">
      <c r="B4" s="1655"/>
      <c r="D4" s="1656"/>
      <c r="E4" s="1658"/>
      <c r="G4" s="1655"/>
    </row>
    <row r="5" spans="1:19" s="1654" customFormat="1" ht="21.75" customHeight="1" x14ac:dyDescent="0.2">
      <c r="A5" s="2280" t="s">
        <v>0</v>
      </c>
      <c r="B5" s="2280"/>
      <c r="C5" s="2280"/>
      <c r="D5" s="2280"/>
      <c r="E5" s="2280"/>
      <c r="F5" s="2280"/>
      <c r="G5" s="1659"/>
    </row>
    <row r="6" spans="1:19" ht="38.25" customHeight="1" x14ac:dyDescent="0.25">
      <c r="A6" s="2281" t="s">
        <v>693</v>
      </c>
      <c r="B6" s="2281"/>
      <c r="C6" s="2281"/>
      <c r="D6" s="2281"/>
      <c r="E6" s="2281"/>
      <c r="F6" s="2281"/>
      <c r="G6" s="1256"/>
      <c r="H6" s="1660"/>
      <c r="I6" s="1660"/>
      <c r="J6" s="1660"/>
      <c r="K6" s="1660"/>
      <c r="L6" s="1660"/>
      <c r="M6" s="1660"/>
      <c r="N6" s="1660"/>
      <c r="O6" s="1660"/>
      <c r="P6" s="1660"/>
      <c r="Q6" s="1660"/>
      <c r="R6" s="1660"/>
      <c r="S6" s="1660"/>
    </row>
    <row r="7" spans="1:19" ht="27.75" customHeight="1" x14ac:dyDescent="0.2">
      <c r="A7" s="2261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1699"/>
      <c r="H7" s="1660"/>
      <c r="I7" s="1660"/>
      <c r="J7" s="1660"/>
      <c r="K7" s="1660"/>
      <c r="L7" s="1660"/>
      <c r="M7" s="1660"/>
      <c r="N7" s="1660"/>
      <c r="O7" s="1660"/>
      <c r="P7" s="1660"/>
      <c r="Q7" s="1660"/>
      <c r="R7" s="1660"/>
      <c r="S7" s="1660"/>
    </row>
    <row r="8" spans="1:19" ht="21" customHeight="1" x14ac:dyDescent="0.25">
      <c r="A8" s="2266" t="str">
        <f>' ССР (нов)'!A7:G7</f>
        <v>г. Москва , ул. Гамалеи д.11к.1</v>
      </c>
      <c r="B8" s="2266"/>
      <c r="C8" s="2266"/>
      <c r="D8" s="2266"/>
      <c r="E8" s="2266"/>
      <c r="F8" s="2266"/>
      <c r="G8" s="1700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1"/>
      <c r="F9" s="1538"/>
      <c r="G9" s="482"/>
      <c r="H9" s="482"/>
      <c r="I9" s="482"/>
    </row>
    <row r="10" spans="1:19" ht="38.25" x14ac:dyDescent="0.2">
      <c r="A10" s="1662" t="s">
        <v>31</v>
      </c>
      <c r="B10" s="1663" t="s">
        <v>305</v>
      </c>
      <c r="C10" s="1664" t="s">
        <v>694</v>
      </c>
      <c r="D10" s="1665" t="s">
        <v>695</v>
      </c>
      <c r="E10" s="1666" t="s">
        <v>696</v>
      </c>
      <c r="F10" s="1667" t="s">
        <v>697</v>
      </c>
    </row>
    <row r="11" spans="1:19" ht="61.5" customHeight="1" x14ac:dyDescent="0.2">
      <c r="A11" s="2282" t="s">
        <v>698</v>
      </c>
      <c r="B11" s="2283"/>
      <c r="C11" s="2283"/>
      <c r="D11" s="2283"/>
      <c r="E11" s="2283"/>
      <c r="F11" s="2284"/>
    </row>
    <row r="12" spans="1:19" ht="21" customHeight="1" x14ac:dyDescent="0.2">
      <c r="A12" s="2274" t="s">
        <v>699</v>
      </c>
      <c r="B12" s="2275"/>
      <c r="C12" s="2275"/>
      <c r="D12" s="2275"/>
      <c r="E12" s="2275"/>
      <c r="F12" s="2276"/>
    </row>
    <row r="13" spans="1:19" ht="75" x14ac:dyDescent="0.2">
      <c r="A13" s="1669">
        <v>1</v>
      </c>
      <c r="B13" s="1670" t="s">
        <v>700</v>
      </c>
      <c r="C13" s="1671"/>
      <c r="D13" s="1672"/>
      <c r="E13" s="1538"/>
      <c r="F13" s="1673"/>
    </row>
    <row r="14" spans="1:19" ht="18.75" customHeight="1" x14ac:dyDescent="0.2">
      <c r="A14" s="1669"/>
      <c r="B14" s="1670" t="s">
        <v>701</v>
      </c>
      <c r="C14" s="1671"/>
      <c r="D14" s="1672"/>
      <c r="E14" s="1698">
        <f>I14</f>
        <v>398651.2</v>
      </c>
      <c r="F14" s="1673"/>
      <c r="G14" s="1674"/>
      <c r="H14" s="1674"/>
      <c r="I14" s="1668">
        <f>Т.с.!H66+Т.с.!H75+Т.с.!H88+ПОЖ!H17+РДП!H24</f>
        <v>398651.2</v>
      </c>
    </row>
    <row r="15" spans="1:19" ht="75" x14ac:dyDescent="0.2">
      <c r="A15" s="1669">
        <v>2</v>
      </c>
      <c r="B15" s="1670" t="s">
        <v>702</v>
      </c>
      <c r="C15" s="1671"/>
      <c r="D15" s="1675">
        <v>2.6499999999999999E-2</v>
      </c>
      <c r="E15" s="1697" t="str">
        <f>CONCATENATE(E14,"*",D15,)</f>
        <v>398651,2*0,0265</v>
      </c>
      <c r="F15" s="1677">
        <f>ROUND(E14*D15,2)</f>
        <v>10564.26</v>
      </c>
      <c r="G15" s="1678"/>
    </row>
    <row r="16" spans="1:19" ht="45" x14ac:dyDescent="0.2">
      <c r="A16" s="1669">
        <v>3</v>
      </c>
      <c r="B16" s="1670" t="s">
        <v>703</v>
      </c>
      <c r="C16" s="1671"/>
      <c r="D16" s="1675">
        <v>1</v>
      </c>
      <c r="E16" s="1676"/>
      <c r="F16" s="1677"/>
    </row>
    <row r="17" spans="1:7" ht="45" hidden="1" x14ac:dyDescent="0.25">
      <c r="A17" s="1669"/>
      <c r="B17" s="1670" t="s">
        <v>704</v>
      </c>
      <c r="C17" s="1671"/>
      <c r="D17" s="1679">
        <v>1</v>
      </c>
      <c r="E17" s="1676"/>
      <c r="F17" s="1677"/>
      <c r="G17" s="1256"/>
    </row>
    <row r="18" spans="1:7" ht="25.5" customHeight="1" x14ac:dyDescent="0.2">
      <c r="A18" s="1669"/>
      <c r="B18" s="252" t="s">
        <v>303</v>
      </c>
      <c r="C18" s="1671"/>
      <c r="D18" s="1675"/>
      <c r="E18" s="648"/>
      <c r="F18" s="1680">
        <f>F15</f>
        <v>10564.26</v>
      </c>
      <c r="G18" s="1681"/>
    </row>
    <row r="19" spans="1:7" ht="25.5" hidden="1" customHeight="1" x14ac:dyDescent="0.2">
      <c r="A19" s="1669"/>
      <c r="B19" s="1682" t="s">
        <v>705</v>
      </c>
      <c r="C19" s="1683"/>
      <c r="D19" s="1675">
        <v>0.18</v>
      </c>
      <c r="E19" s="1696" t="s">
        <v>706</v>
      </c>
      <c r="F19" s="1680">
        <v>3095.53</v>
      </c>
      <c r="G19" s="1678"/>
    </row>
    <row r="20" spans="1:7" ht="25.5" hidden="1" customHeight="1" thickBot="1" x14ac:dyDescent="0.25">
      <c r="A20" s="1684"/>
      <c r="B20" s="1685" t="s">
        <v>707</v>
      </c>
      <c r="C20" s="1686"/>
      <c r="D20" s="1687"/>
      <c r="E20" s="1688"/>
      <c r="F20" s="1689">
        <v>20292.939999999999</v>
      </c>
    </row>
    <row r="21" spans="1:7" ht="9" customHeight="1" x14ac:dyDescent="0.2"/>
    <row r="22" spans="1:7" x14ac:dyDescent="0.2">
      <c r="A22" s="1692"/>
      <c r="B22" s="1693"/>
      <c r="C22" s="1694"/>
      <c r="D22" s="1695"/>
      <c r="E22" s="580"/>
      <c r="F22" s="1692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J25" sqref="I5:J25"/>
    </sheetView>
  </sheetViews>
  <sheetFormatPr defaultRowHeight="15.75" x14ac:dyDescent="0.2"/>
  <cols>
    <col min="1" max="1" width="6.140625" style="1702" bestFit="1" customWidth="1"/>
    <col min="2" max="2" width="34.5703125" style="1702" customWidth="1"/>
    <col min="3" max="3" width="10.140625" style="1702" customWidth="1"/>
    <col min="4" max="4" width="16.28515625" style="1757" customWidth="1"/>
    <col min="5" max="5" width="9.28515625" style="1757" customWidth="1"/>
    <col min="6" max="6" width="31.140625" style="1757" customWidth="1"/>
    <col min="7" max="7" width="17.85546875" style="1757" customWidth="1"/>
    <col min="8" max="8" width="19.85546875" style="1757" customWidth="1"/>
    <col min="9" max="9" width="17" style="1702" customWidth="1"/>
    <col min="10" max="10" width="13.140625" style="1702" bestFit="1" customWidth="1"/>
    <col min="11" max="11" width="17.28515625" style="1702" customWidth="1"/>
    <col min="12" max="12" width="21" style="1702" customWidth="1"/>
    <col min="13" max="256" width="9.140625" style="1702"/>
    <col min="257" max="257" width="6.140625" style="1702" bestFit="1" customWidth="1"/>
    <col min="258" max="258" width="34.5703125" style="1702" customWidth="1"/>
    <col min="259" max="259" width="10.140625" style="1702" customWidth="1"/>
    <col min="260" max="260" width="16.28515625" style="1702" customWidth="1"/>
    <col min="261" max="261" width="9.28515625" style="1702" customWidth="1"/>
    <col min="262" max="262" width="31.140625" style="1702" customWidth="1"/>
    <col min="263" max="263" width="17.85546875" style="1702" customWidth="1"/>
    <col min="264" max="264" width="19.85546875" style="1702" customWidth="1"/>
    <col min="265" max="265" width="17" style="1702" customWidth="1"/>
    <col min="266" max="266" width="13.140625" style="1702" bestFit="1" customWidth="1"/>
    <col min="267" max="267" width="17.28515625" style="1702" customWidth="1"/>
    <col min="268" max="268" width="21" style="1702" customWidth="1"/>
    <col min="269" max="512" width="9.140625" style="1702"/>
    <col min="513" max="513" width="6.140625" style="1702" bestFit="1" customWidth="1"/>
    <col min="514" max="514" width="34.5703125" style="1702" customWidth="1"/>
    <col min="515" max="515" width="10.140625" style="1702" customWidth="1"/>
    <col min="516" max="516" width="16.28515625" style="1702" customWidth="1"/>
    <col min="517" max="517" width="9.28515625" style="1702" customWidth="1"/>
    <col min="518" max="518" width="31.140625" style="1702" customWidth="1"/>
    <col min="519" max="519" width="17.85546875" style="1702" customWidth="1"/>
    <col min="520" max="520" width="19.85546875" style="1702" customWidth="1"/>
    <col min="521" max="521" width="17" style="1702" customWidth="1"/>
    <col min="522" max="522" width="13.140625" style="1702" bestFit="1" customWidth="1"/>
    <col min="523" max="523" width="17.28515625" style="1702" customWidth="1"/>
    <col min="524" max="524" width="21" style="1702" customWidth="1"/>
    <col min="525" max="768" width="9.140625" style="1702"/>
    <col min="769" max="769" width="6.140625" style="1702" bestFit="1" customWidth="1"/>
    <col min="770" max="770" width="34.5703125" style="1702" customWidth="1"/>
    <col min="771" max="771" width="10.140625" style="1702" customWidth="1"/>
    <col min="772" max="772" width="16.28515625" style="1702" customWidth="1"/>
    <col min="773" max="773" width="9.28515625" style="1702" customWidth="1"/>
    <col min="774" max="774" width="31.140625" style="1702" customWidth="1"/>
    <col min="775" max="775" width="17.85546875" style="1702" customWidth="1"/>
    <col min="776" max="776" width="19.85546875" style="1702" customWidth="1"/>
    <col min="777" max="777" width="17" style="1702" customWidth="1"/>
    <col min="778" max="778" width="13.140625" style="1702" bestFit="1" customWidth="1"/>
    <col min="779" max="779" width="17.28515625" style="1702" customWidth="1"/>
    <col min="780" max="780" width="21" style="1702" customWidth="1"/>
    <col min="781" max="1024" width="9.140625" style="1702"/>
    <col min="1025" max="1025" width="6.140625" style="1702" bestFit="1" customWidth="1"/>
    <col min="1026" max="1026" width="34.5703125" style="1702" customWidth="1"/>
    <col min="1027" max="1027" width="10.140625" style="1702" customWidth="1"/>
    <col min="1028" max="1028" width="16.28515625" style="1702" customWidth="1"/>
    <col min="1029" max="1029" width="9.28515625" style="1702" customWidth="1"/>
    <col min="1030" max="1030" width="31.140625" style="1702" customWidth="1"/>
    <col min="1031" max="1031" width="17.85546875" style="1702" customWidth="1"/>
    <col min="1032" max="1032" width="19.85546875" style="1702" customWidth="1"/>
    <col min="1033" max="1033" width="17" style="1702" customWidth="1"/>
    <col min="1034" max="1034" width="13.140625" style="1702" bestFit="1" customWidth="1"/>
    <col min="1035" max="1035" width="17.28515625" style="1702" customWidth="1"/>
    <col min="1036" max="1036" width="21" style="1702" customWidth="1"/>
    <col min="1037" max="1280" width="9.140625" style="1702"/>
    <col min="1281" max="1281" width="6.140625" style="1702" bestFit="1" customWidth="1"/>
    <col min="1282" max="1282" width="34.5703125" style="1702" customWidth="1"/>
    <col min="1283" max="1283" width="10.140625" style="1702" customWidth="1"/>
    <col min="1284" max="1284" width="16.28515625" style="1702" customWidth="1"/>
    <col min="1285" max="1285" width="9.28515625" style="1702" customWidth="1"/>
    <col min="1286" max="1286" width="31.140625" style="1702" customWidth="1"/>
    <col min="1287" max="1287" width="17.85546875" style="1702" customWidth="1"/>
    <col min="1288" max="1288" width="19.85546875" style="1702" customWidth="1"/>
    <col min="1289" max="1289" width="17" style="1702" customWidth="1"/>
    <col min="1290" max="1290" width="13.140625" style="1702" bestFit="1" customWidth="1"/>
    <col min="1291" max="1291" width="17.28515625" style="1702" customWidth="1"/>
    <col min="1292" max="1292" width="21" style="1702" customWidth="1"/>
    <col min="1293" max="1536" width="9.140625" style="1702"/>
    <col min="1537" max="1537" width="6.140625" style="1702" bestFit="1" customWidth="1"/>
    <col min="1538" max="1538" width="34.5703125" style="1702" customWidth="1"/>
    <col min="1539" max="1539" width="10.140625" style="1702" customWidth="1"/>
    <col min="1540" max="1540" width="16.28515625" style="1702" customWidth="1"/>
    <col min="1541" max="1541" width="9.28515625" style="1702" customWidth="1"/>
    <col min="1542" max="1542" width="31.140625" style="1702" customWidth="1"/>
    <col min="1543" max="1543" width="17.85546875" style="1702" customWidth="1"/>
    <col min="1544" max="1544" width="19.85546875" style="1702" customWidth="1"/>
    <col min="1545" max="1545" width="17" style="1702" customWidth="1"/>
    <col min="1546" max="1546" width="13.140625" style="1702" bestFit="1" customWidth="1"/>
    <col min="1547" max="1547" width="17.28515625" style="1702" customWidth="1"/>
    <col min="1548" max="1548" width="21" style="1702" customWidth="1"/>
    <col min="1549" max="1792" width="9.140625" style="1702"/>
    <col min="1793" max="1793" width="6.140625" style="1702" bestFit="1" customWidth="1"/>
    <col min="1794" max="1794" width="34.5703125" style="1702" customWidth="1"/>
    <col min="1795" max="1795" width="10.140625" style="1702" customWidth="1"/>
    <col min="1796" max="1796" width="16.28515625" style="1702" customWidth="1"/>
    <col min="1797" max="1797" width="9.28515625" style="1702" customWidth="1"/>
    <col min="1798" max="1798" width="31.140625" style="1702" customWidth="1"/>
    <col min="1799" max="1799" width="17.85546875" style="1702" customWidth="1"/>
    <col min="1800" max="1800" width="19.85546875" style="1702" customWidth="1"/>
    <col min="1801" max="1801" width="17" style="1702" customWidth="1"/>
    <col min="1802" max="1802" width="13.140625" style="1702" bestFit="1" customWidth="1"/>
    <col min="1803" max="1803" width="17.28515625" style="1702" customWidth="1"/>
    <col min="1804" max="1804" width="21" style="1702" customWidth="1"/>
    <col min="1805" max="2048" width="9.140625" style="1702"/>
    <col min="2049" max="2049" width="6.140625" style="1702" bestFit="1" customWidth="1"/>
    <col min="2050" max="2050" width="34.5703125" style="1702" customWidth="1"/>
    <col min="2051" max="2051" width="10.140625" style="1702" customWidth="1"/>
    <col min="2052" max="2052" width="16.28515625" style="1702" customWidth="1"/>
    <col min="2053" max="2053" width="9.28515625" style="1702" customWidth="1"/>
    <col min="2054" max="2054" width="31.140625" style="1702" customWidth="1"/>
    <col min="2055" max="2055" width="17.85546875" style="1702" customWidth="1"/>
    <col min="2056" max="2056" width="19.85546875" style="1702" customWidth="1"/>
    <col min="2057" max="2057" width="17" style="1702" customWidth="1"/>
    <col min="2058" max="2058" width="13.140625" style="1702" bestFit="1" customWidth="1"/>
    <col min="2059" max="2059" width="17.28515625" style="1702" customWidth="1"/>
    <col min="2060" max="2060" width="21" style="1702" customWidth="1"/>
    <col min="2061" max="2304" width="9.140625" style="1702"/>
    <col min="2305" max="2305" width="6.140625" style="1702" bestFit="1" customWidth="1"/>
    <col min="2306" max="2306" width="34.5703125" style="1702" customWidth="1"/>
    <col min="2307" max="2307" width="10.140625" style="1702" customWidth="1"/>
    <col min="2308" max="2308" width="16.28515625" style="1702" customWidth="1"/>
    <col min="2309" max="2309" width="9.28515625" style="1702" customWidth="1"/>
    <col min="2310" max="2310" width="31.140625" style="1702" customWidth="1"/>
    <col min="2311" max="2311" width="17.85546875" style="1702" customWidth="1"/>
    <col min="2312" max="2312" width="19.85546875" style="1702" customWidth="1"/>
    <col min="2313" max="2313" width="17" style="1702" customWidth="1"/>
    <col min="2314" max="2314" width="13.140625" style="1702" bestFit="1" customWidth="1"/>
    <col min="2315" max="2315" width="17.28515625" style="1702" customWidth="1"/>
    <col min="2316" max="2316" width="21" style="1702" customWidth="1"/>
    <col min="2317" max="2560" width="9.140625" style="1702"/>
    <col min="2561" max="2561" width="6.140625" style="1702" bestFit="1" customWidth="1"/>
    <col min="2562" max="2562" width="34.5703125" style="1702" customWidth="1"/>
    <col min="2563" max="2563" width="10.140625" style="1702" customWidth="1"/>
    <col min="2564" max="2564" width="16.28515625" style="1702" customWidth="1"/>
    <col min="2565" max="2565" width="9.28515625" style="1702" customWidth="1"/>
    <col min="2566" max="2566" width="31.140625" style="1702" customWidth="1"/>
    <col min="2567" max="2567" width="17.85546875" style="1702" customWidth="1"/>
    <col min="2568" max="2568" width="19.85546875" style="1702" customWidth="1"/>
    <col min="2569" max="2569" width="17" style="1702" customWidth="1"/>
    <col min="2570" max="2570" width="13.140625" style="1702" bestFit="1" customWidth="1"/>
    <col min="2571" max="2571" width="17.28515625" style="1702" customWidth="1"/>
    <col min="2572" max="2572" width="21" style="1702" customWidth="1"/>
    <col min="2573" max="2816" width="9.140625" style="1702"/>
    <col min="2817" max="2817" width="6.140625" style="1702" bestFit="1" customWidth="1"/>
    <col min="2818" max="2818" width="34.5703125" style="1702" customWidth="1"/>
    <col min="2819" max="2819" width="10.140625" style="1702" customWidth="1"/>
    <col min="2820" max="2820" width="16.28515625" style="1702" customWidth="1"/>
    <col min="2821" max="2821" width="9.28515625" style="1702" customWidth="1"/>
    <col min="2822" max="2822" width="31.140625" style="1702" customWidth="1"/>
    <col min="2823" max="2823" width="17.85546875" style="1702" customWidth="1"/>
    <col min="2824" max="2824" width="19.85546875" style="1702" customWidth="1"/>
    <col min="2825" max="2825" width="17" style="1702" customWidth="1"/>
    <col min="2826" max="2826" width="13.140625" style="1702" bestFit="1" customWidth="1"/>
    <col min="2827" max="2827" width="17.28515625" style="1702" customWidth="1"/>
    <col min="2828" max="2828" width="21" style="1702" customWidth="1"/>
    <col min="2829" max="3072" width="9.140625" style="1702"/>
    <col min="3073" max="3073" width="6.140625" style="1702" bestFit="1" customWidth="1"/>
    <col min="3074" max="3074" width="34.5703125" style="1702" customWidth="1"/>
    <col min="3075" max="3075" width="10.140625" style="1702" customWidth="1"/>
    <col min="3076" max="3076" width="16.28515625" style="1702" customWidth="1"/>
    <col min="3077" max="3077" width="9.28515625" style="1702" customWidth="1"/>
    <col min="3078" max="3078" width="31.140625" style="1702" customWidth="1"/>
    <col min="3079" max="3079" width="17.85546875" style="1702" customWidth="1"/>
    <col min="3080" max="3080" width="19.85546875" style="1702" customWidth="1"/>
    <col min="3081" max="3081" width="17" style="1702" customWidth="1"/>
    <col min="3082" max="3082" width="13.140625" style="1702" bestFit="1" customWidth="1"/>
    <col min="3083" max="3083" width="17.28515625" style="1702" customWidth="1"/>
    <col min="3084" max="3084" width="21" style="1702" customWidth="1"/>
    <col min="3085" max="3328" width="9.140625" style="1702"/>
    <col min="3329" max="3329" width="6.140625" style="1702" bestFit="1" customWidth="1"/>
    <col min="3330" max="3330" width="34.5703125" style="1702" customWidth="1"/>
    <col min="3331" max="3331" width="10.140625" style="1702" customWidth="1"/>
    <col min="3332" max="3332" width="16.28515625" style="1702" customWidth="1"/>
    <col min="3333" max="3333" width="9.28515625" style="1702" customWidth="1"/>
    <col min="3334" max="3334" width="31.140625" style="1702" customWidth="1"/>
    <col min="3335" max="3335" width="17.85546875" style="1702" customWidth="1"/>
    <col min="3336" max="3336" width="19.85546875" style="1702" customWidth="1"/>
    <col min="3337" max="3337" width="17" style="1702" customWidth="1"/>
    <col min="3338" max="3338" width="13.140625" style="1702" bestFit="1" customWidth="1"/>
    <col min="3339" max="3339" width="17.28515625" style="1702" customWidth="1"/>
    <col min="3340" max="3340" width="21" style="1702" customWidth="1"/>
    <col min="3341" max="3584" width="9.140625" style="1702"/>
    <col min="3585" max="3585" width="6.140625" style="1702" bestFit="1" customWidth="1"/>
    <col min="3586" max="3586" width="34.5703125" style="1702" customWidth="1"/>
    <col min="3587" max="3587" width="10.140625" style="1702" customWidth="1"/>
    <col min="3588" max="3588" width="16.28515625" style="1702" customWidth="1"/>
    <col min="3589" max="3589" width="9.28515625" style="1702" customWidth="1"/>
    <col min="3590" max="3590" width="31.140625" style="1702" customWidth="1"/>
    <col min="3591" max="3591" width="17.85546875" style="1702" customWidth="1"/>
    <col min="3592" max="3592" width="19.85546875" style="1702" customWidth="1"/>
    <col min="3593" max="3593" width="17" style="1702" customWidth="1"/>
    <col min="3594" max="3594" width="13.140625" style="1702" bestFit="1" customWidth="1"/>
    <col min="3595" max="3595" width="17.28515625" style="1702" customWidth="1"/>
    <col min="3596" max="3596" width="21" style="1702" customWidth="1"/>
    <col min="3597" max="3840" width="9.140625" style="1702"/>
    <col min="3841" max="3841" width="6.140625" style="1702" bestFit="1" customWidth="1"/>
    <col min="3842" max="3842" width="34.5703125" style="1702" customWidth="1"/>
    <col min="3843" max="3843" width="10.140625" style="1702" customWidth="1"/>
    <col min="3844" max="3844" width="16.28515625" style="1702" customWidth="1"/>
    <col min="3845" max="3845" width="9.28515625" style="1702" customWidth="1"/>
    <col min="3846" max="3846" width="31.140625" style="1702" customWidth="1"/>
    <col min="3847" max="3847" width="17.85546875" style="1702" customWidth="1"/>
    <col min="3848" max="3848" width="19.85546875" style="1702" customWidth="1"/>
    <col min="3849" max="3849" width="17" style="1702" customWidth="1"/>
    <col min="3850" max="3850" width="13.140625" style="1702" bestFit="1" customWidth="1"/>
    <col min="3851" max="3851" width="17.28515625" style="1702" customWidth="1"/>
    <col min="3852" max="3852" width="21" style="1702" customWidth="1"/>
    <col min="3853" max="4096" width="9.140625" style="1702"/>
    <col min="4097" max="4097" width="6.140625" style="1702" bestFit="1" customWidth="1"/>
    <col min="4098" max="4098" width="34.5703125" style="1702" customWidth="1"/>
    <col min="4099" max="4099" width="10.140625" style="1702" customWidth="1"/>
    <col min="4100" max="4100" width="16.28515625" style="1702" customWidth="1"/>
    <col min="4101" max="4101" width="9.28515625" style="1702" customWidth="1"/>
    <col min="4102" max="4102" width="31.140625" style="1702" customWidth="1"/>
    <col min="4103" max="4103" width="17.85546875" style="1702" customWidth="1"/>
    <col min="4104" max="4104" width="19.85546875" style="1702" customWidth="1"/>
    <col min="4105" max="4105" width="17" style="1702" customWidth="1"/>
    <col min="4106" max="4106" width="13.140625" style="1702" bestFit="1" customWidth="1"/>
    <col min="4107" max="4107" width="17.28515625" style="1702" customWidth="1"/>
    <col min="4108" max="4108" width="21" style="1702" customWidth="1"/>
    <col min="4109" max="4352" width="9.140625" style="1702"/>
    <col min="4353" max="4353" width="6.140625" style="1702" bestFit="1" customWidth="1"/>
    <col min="4354" max="4354" width="34.5703125" style="1702" customWidth="1"/>
    <col min="4355" max="4355" width="10.140625" style="1702" customWidth="1"/>
    <col min="4356" max="4356" width="16.28515625" style="1702" customWidth="1"/>
    <col min="4357" max="4357" width="9.28515625" style="1702" customWidth="1"/>
    <col min="4358" max="4358" width="31.140625" style="1702" customWidth="1"/>
    <col min="4359" max="4359" width="17.85546875" style="1702" customWidth="1"/>
    <col min="4360" max="4360" width="19.85546875" style="1702" customWidth="1"/>
    <col min="4361" max="4361" width="17" style="1702" customWidth="1"/>
    <col min="4362" max="4362" width="13.140625" style="1702" bestFit="1" customWidth="1"/>
    <col min="4363" max="4363" width="17.28515625" style="1702" customWidth="1"/>
    <col min="4364" max="4364" width="21" style="1702" customWidth="1"/>
    <col min="4365" max="4608" width="9.140625" style="1702"/>
    <col min="4609" max="4609" width="6.140625" style="1702" bestFit="1" customWidth="1"/>
    <col min="4610" max="4610" width="34.5703125" style="1702" customWidth="1"/>
    <col min="4611" max="4611" width="10.140625" style="1702" customWidth="1"/>
    <col min="4612" max="4612" width="16.28515625" style="1702" customWidth="1"/>
    <col min="4613" max="4613" width="9.28515625" style="1702" customWidth="1"/>
    <col min="4614" max="4614" width="31.140625" style="1702" customWidth="1"/>
    <col min="4615" max="4615" width="17.85546875" style="1702" customWidth="1"/>
    <col min="4616" max="4616" width="19.85546875" style="1702" customWidth="1"/>
    <col min="4617" max="4617" width="17" style="1702" customWidth="1"/>
    <col min="4618" max="4618" width="13.140625" style="1702" bestFit="1" customWidth="1"/>
    <col min="4619" max="4619" width="17.28515625" style="1702" customWidth="1"/>
    <col min="4620" max="4620" width="21" style="1702" customWidth="1"/>
    <col min="4621" max="4864" width="9.140625" style="1702"/>
    <col min="4865" max="4865" width="6.140625" style="1702" bestFit="1" customWidth="1"/>
    <col min="4866" max="4866" width="34.5703125" style="1702" customWidth="1"/>
    <col min="4867" max="4867" width="10.140625" style="1702" customWidth="1"/>
    <col min="4868" max="4868" width="16.28515625" style="1702" customWidth="1"/>
    <col min="4869" max="4869" width="9.28515625" style="1702" customWidth="1"/>
    <col min="4870" max="4870" width="31.140625" style="1702" customWidth="1"/>
    <col min="4871" max="4871" width="17.85546875" style="1702" customWidth="1"/>
    <col min="4872" max="4872" width="19.85546875" style="1702" customWidth="1"/>
    <col min="4873" max="4873" width="17" style="1702" customWidth="1"/>
    <col min="4874" max="4874" width="13.140625" style="1702" bestFit="1" customWidth="1"/>
    <col min="4875" max="4875" width="17.28515625" style="1702" customWidth="1"/>
    <col min="4876" max="4876" width="21" style="1702" customWidth="1"/>
    <col min="4877" max="5120" width="9.140625" style="1702"/>
    <col min="5121" max="5121" width="6.140625" style="1702" bestFit="1" customWidth="1"/>
    <col min="5122" max="5122" width="34.5703125" style="1702" customWidth="1"/>
    <col min="5123" max="5123" width="10.140625" style="1702" customWidth="1"/>
    <col min="5124" max="5124" width="16.28515625" style="1702" customWidth="1"/>
    <col min="5125" max="5125" width="9.28515625" style="1702" customWidth="1"/>
    <col min="5126" max="5126" width="31.140625" style="1702" customWidth="1"/>
    <col min="5127" max="5127" width="17.85546875" style="1702" customWidth="1"/>
    <col min="5128" max="5128" width="19.85546875" style="1702" customWidth="1"/>
    <col min="5129" max="5129" width="17" style="1702" customWidth="1"/>
    <col min="5130" max="5130" width="13.140625" style="1702" bestFit="1" customWidth="1"/>
    <col min="5131" max="5131" width="17.28515625" style="1702" customWidth="1"/>
    <col min="5132" max="5132" width="21" style="1702" customWidth="1"/>
    <col min="5133" max="5376" width="9.140625" style="1702"/>
    <col min="5377" max="5377" width="6.140625" style="1702" bestFit="1" customWidth="1"/>
    <col min="5378" max="5378" width="34.5703125" style="1702" customWidth="1"/>
    <col min="5379" max="5379" width="10.140625" style="1702" customWidth="1"/>
    <col min="5380" max="5380" width="16.28515625" style="1702" customWidth="1"/>
    <col min="5381" max="5381" width="9.28515625" style="1702" customWidth="1"/>
    <col min="5382" max="5382" width="31.140625" style="1702" customWidth="1"/>
    <col min="5383" max="5383" width="17.85546875" style="1702" customWidth="1"/>
    <col min="5384" max="5384" width="19.85546875" style="1702" customWidth="1"/>
    <col min="5385" max="5385" width="17" style="1702" customWidth="1"/>
    <col min="5386" max="5386" width="13.140625" style="1702" bestFit="1" customWidth="1"/>
    <col min="5387" max="5387" width="17.28515625" style="1702" customWidth="1"/>
    <col min="5388" max="5388" width="21" style="1702" customWidth="1"/>
    <col min="5389" max="5632" width="9.140625" style="1702"/>
    <col min="5633" max="5633" width="6.140625" style="1702" bestFit="1" customWidth="1"/>
    <col min="5634" max="5634" width="34.5703125" style="1702" customWidth="1"/>
    <col min="5635" max="5635" width="10.140625" style="1702" customWidth="1"/>
    <col min="5636" max="5636" width="16.28515625" style="1702" customWidth="1"/>
    <col min="5637" max="5637" width="9.28515625" style="1702" customWidth="1"/>
    <col min="5638" max="5638" width="31.140625" style="1702" customWidth="1"/>
    <col min="5639" max="5639" width="17.85546875" style="1702" customWidth="1"/>
    <col min="5640" max="5640" width="19.85546875" style="1702" customWidth="1"/>
    <col min="5641" max="5641" width="17" style="1702" customWidth="1"/>
    <col min="5642" max="5642" width="13.140625" style="1702" bestFit="1" customWidth="1"/>
    <col min="5643" max="5643" width="17.28515625" style="1702" customWidth="1"/>
    <col min="5644" max="5644" width="21" style="1702" customWidth="1"/>
    <col min="5645" max="5888" width="9.140625" style="1702"/>
    <col min="5889" max="5889" width="6.140625" style="1702" bestFit="1" customWidth="1"/>
    <col min="5890" max="5890" width="34.5703125" style="1702" customWidth="1"/>
    <col min="5891" max="5891" width="10.140625" style="1702" customWidth="1"/>
    <col min="5892" max="5892" width="16.28515625" style="1702" customWidth="1"/>
    <col min="5893" max="5893" width="9.28515625" style="1702" customWidth="1"/>
    <col min="5894" max="5894" width="31.140625" style="1702" customWidth="1"/>
    <col min="5895" max="5895" width="17.85546875" style="1702" customWidth="1"/>
    <col min="5896" max="5896" width="19.85546875" style="1702" customWidth="1"/>
    <col min="5897" max="5897" width="17" style="1702" customWidth="1"/>
    <col min="5898" max="5898" width="13.140625" style="1702" bestFit="1" customWidth="1"/>
    <col min="5899" max="5899" width="17.28515625" style="1702" customWidth="1"/>
    <col min="5900" max="5900" width="21" style="1702" customWidth="1"/>
    <col min="5901" max="6144" width="9.140625" style="1702"/>
    <col min="6145" max="6145" width="6.140625" style="1702" bestFit="1" customWidth="1"/>
    <col min="6146" max="6146" width="34.5703125" style="1702" customWidth="1"/>
    <col min="6147" max="6147" width="10.140625" style="1702" customWidth="1"/>
    <col min="6148" max="6148" width="16.28515625" style="1702" customWidth="1"/>
    <col min="6149" max="6149" width="9.28515625" style="1702" customWidth="1"/>
    <col min="6150" max="6150" width="31.140625" style="1702" customWidth="1"/>
    <col min="6151" max="6151" width="17.85546875" style="1702" customWidth="1"/>
    <col min="6152" max="6152" width="19.85546875" style="1702" customWidth="1"/>
    <col min="6153" max="6153" width="17" style="1702" customWidth="1"/>
    <col min="6154" max="6154" width="13.140625" style="1702" bestFit="1" customWidth="1"/>
    <col min="6155" max="6155" width="17.28515625" style="1702" customWidth="1"/>
    <col min="6156" max="6156" width="21" style="1702" customWidth="1"/>
    <col min="6157" max="6400" width="9.140625" style="1702"/>
    <col min="6401" max="6401" width="6.140625" style="1702" bestFit="1" customWidth="1"/>
    <col min="6402" max="6402" width="34.5703125" style="1702" customWidth="1"/>
    <col min="6403" max="6403" width="10.140625" style="1702" customWidth="1"/>
    <col min="6404" max="6404" width="16.28515625" style="1702" customWidth="1"/>
    <col min="6405" max="6405" width="9.28515625" style="1702" customWidth="1"/>
    <col min="6406" max="6406" width="31.140625" style="1702" customWidth="1"/>
    <col min="6407" max="6407" width="17.85546875" style="1702" customWidth="1"/>
    <col min="6408" max="6408" width="19.85546875" style="1702" customWidth="1"/>
    <col min="6409" max="6409" width="17" style="1702" customWidth="1"/>
    <col min="6410" max="6410" width="13.140625" style="1702" bestFit="1" customWidth="1"/>
    <col min="6411" max="6411" width="17.28515625" style="1702" customWidth="1"/>
    <col min="6412" max="6412" width="21" style="1702" customWidth="1"/>
    <col min="6413" max="6656" width="9.140625" style="1702"/>
    <col min="6657" max="6657" width="6.140625" style="1702" bestFit="1" customWidth="1"/>
    <col min="6658" max="6658" width="34.5703125" style="1702" customWidth="1"/>
    <col min="6659" max="6659" width="10.140625" style="1702" customWidth="1"/>
    <col min="6660" max="6660" width="16.28515625" style="1702" customWidth="1"/>
    <col min="6661" max="6661" width="9.28515625" style="1702" customWidth="1"/>
    <col min="6662" max="6662" width="31.140625" style="1702" customWidth="1"/>
    <col min="6663" max="6663" width="17.85546875" style="1702" customWidth="1"/>
    <col min="6664" max="6664" width="19.85546875" style="1702" customWidth="1"/>
    <col min="6665" max="6665" width="17" style="1702" customWidth="1"/>
    <col min="6666" max="6666" width="13.140625" style="1702" bestFit="1" customWidth="1"/>
    <col min="6667" max="6667" width="17.28515625" style="1702" customWidth="1"/>
    <col min="6668" max="6668" width="21" style="1702" customWidth="1"/>
    <col min="6669" max="6912" width="9.140625" style="1702"/>
    <col min="6913" max="6913" width="6.140625" style="1702" bestFit="1" customWidth="1"/>
    <col min="6914" max="6914" width="34.5703125" style="1702" customWidth="1"/>
    <col min="6915" max="6915" width="10.140625" style="1702" customWidth="1"/>
    <col min="6916" max="6916" width="16.28515625" style="1702" customWidth="1"/>
    <col min="6917" max="6917" width="9.28515625" style="1702" customWidth="1"/>
    <col min="6918" max="6918" width="31.140625" style="1702" customWidth="1"/>
    <col min="6919" max="6919" width="17.85546875" style="1702" customWidth="1"/>
    <col min="6920" max="6920" width="19.85546875" style="1702" customWidth="1"/>
    <col min="6921" max="6921" width="17" style="1702" customWidth="1"/>
    <col min="6922" max="6922" width="13.140625" style="1702" bestFit="1" customWidth="1"/>
    <col min="6923" max="6923" width="17.28515625" style="1702" customWidth="1"/>
    <col min="6924" max="6924" width="21" style="1702" customWidth="1"/>
    <col min="6925" max="7168" width="9.140625" style="1702"/>
    <col min="7169" max="7169" width="6.140625" style="1702" bestFit="1" customWidth="1"/>
    <col min="7170" max="7170" width="34.5703125" style="1702" customWidth="1"/>
    <col min="7171" max="7171" width="10.140625" style="1702" customWidth="1"/>
    <col min="7172" max="7172" width="16.28515625" style="1702" customWidth="1"/>
    <col min="7173" max="7173" width="9.28515625" style="1702" customWidth="1"/>
    <col min="7174" max="7174" width="31.140625" style="1702" customWidth="1"/>
    <col min="7175" max="7175" width="17.85546875" style="1702" customWidth="1"/>
    <col min="7176" max="7176" width="19.85546875" style="1702" customWidth="1"/>
    <col min="7177" max="7177" width="17" style="1702" customWidth="1"/>
    <col min="7178" max="7178" width="13.140625" style="1702" bestFit="1" customWidth="1"/>
    <col min="7179" max="7179" width="17.28515625" style="1702" customWidth="1"/>
    <col min="7180" max="7180" width="21" style="1702" customWidth="1"/>
    <col min="7181" max="7424" width="9.140625" style="1702"/>
    <col min="7425" max="7425" width="6.140625" style="1702" bestFit="1" customWidth="1"/>
    <col min="7426" max="7426" width="34.5703125" style="1702" customWidth="1"/>
    <col min="7427" max="7427" width="10.140625" style="1702" customWidth="1"/>
    <col min="7428" max="7428" width="16.28515625" style="1702" customWidth="1"/>
    <col min="7429" max="7429" width="9.28515625" style="1702" customWidth="1"/>
    <col min="7430" max="7430" width="31.140625" style="1702" customWidth="1"/>
    <col min="7431" max="7431" width="17.85546875" style="1702" customWidth="1"/>
    <col min="7432" max="7432" width="19.85546875" style="1702" customWidth="1"/>
    <col min="7433" max="7433" width="17" style="1702" customWidth="1"/>
    <col min="7434" max="7434" width="13.140625" style="1702" bestFit="1" customWidth="1"/>
    <col min="7435" max="7435" width="17.28515625" style="1702" customWidth="1"/>
    <col min="7436" max="7436" width="21" style="1702" customWidth="1"/>
    <col min="7437" max="7680" width="9.140625" style="1702"/>
    <col min="7681" max="7681" width="6.140625" style="1702" bestFit="1" customWidth="1"/>
    <col min="7682" max="7682" width="34.5703125" style="1702" customWidth="1"/>
    <col min="7683" max="7683" width="10.140625" style="1702" customWidth="1"/>
    <col min="7684" max="7684" width="16.28515625" style="1702" customWidth="1"/>
    <col min="7685" max="7685" width="9.28515625" style="1702" customWidth="1"/>
    <col min="7686" max="7686" width="31.140625" style="1702" customWidth="1"/>
    <col min="7687" max="7687" width="17.85546875" style="1702" customWidth="1"/>
    <col min="7688" max="7688" width="19.85546875" style="1702" customWidth="1"/>
    <col min="7689" max="7689" width="17" style="1702" customWidth="1"/>
    <col min="7690" max="7690" width="13.140625" style="1702" bestFit="1" customWidth="1"/>
    <col min="7691" max="7691" width="17.28515625" style="1702" customWidth="1"/>
    <col min="7692" max="7692" width="21" style="1702" customWidth="1"/>
    <col min="7693" max="7936" width="9.140625" style="1702"/>
    <col min="7937" max="7937" width="6.140625" style="1702" bestFit="1" customWidth="1"/>
    <col min="7938" max="7938" width="34.5703125" style="1702" customWidth="1"/>
    <col min="7939" max="7939" width="10.140625" style="1702" customWidth="1"/>
    <col min="7940" max="7940" width="16.28515625" style="1702" customWidth="1"/>
    <col min="7941" max="7941" width="9.28515625" style="1702" customWidth="1"/>
    <col min="7942" max="7942" width="31.140625" style="1702" customWidth="1"/>
    <col min="7943" max="7943" width="17.85546875" style="1702" customWidth="1"/>
    <col min="7944" max="7944" width="19.85546875" style="1702" customWidth="1"/>
    <col min="7945" max="7945" width="17" style="1702" customWidth="1"/>
    <col min="7946" max="7946" width="13.140625" style="1702" bestFit="1" customWidth="1"/>
    <col min="7947" max="7947" width="17.28515625" style="1702" customWidth="1"/>
    <col min="7948" max="7948" width="21" style="1702" customWidth="1"/>
    <col min="7949" max="8192" width="9.140625" style="1702"/>
    <col min="8193" max="8193" width="6.140625" style="1702" bestFit="1" customWidth="1"/>
    <col min="8194" max="8194" width="34.5703125" style="1702" customWidth="1"/>
    <col min="8195" max="8195" width="10.140625" style="1702" customWidth="1"/>
    <col min="8196" max="8196" width="16.28515625" style="1702" customWidth="1"/>
    <col min="8197" max="8197" width="9.28515625" style="1702" customWidth="1"/>
    <col min="8198" max="8198" width="31.140625" style="1702" customWidth="1"/>
    <col min="8199" max="8199" width="17.85546875" style="1702" customWidth="1"/>
    <col min="8200" max="8200" width="19.85546875" style="1702" customWidth="1"/>
    <col min="8201" max="8201" width="17" style="1702" customWidth="1"/>
    <col min="8202" max="8202" width="13.140625" style="1702" bestFit="1" customWidth="1"/>
    <col min="8203" max="8203" width="17.28515625" style="1702" customWidth="1"/>
    <col min="8204" max="8204" width="21" style="1702" customWidth="1"/>
    <col min="8205" max="8448" width="9.140625" style="1702"/>
    <col min="8449" max="8449" width="6.140625" style="1702" bestFit="1" customWidth="1"/>
    <col min="8450" max="8450" width="34.5703125" style="1702" customWidth="1"/>
    <col min="8451" max="8451" width="10.140625" style="1702" customWidth="1"/>
    <col min="8452" max="8452" width="16.28515625" style="1702" customWidth="1"/>
    <col min="8453" max="8453" width="9.28515625" style="1702" customWidth="1"/>
    <col min="8454" max="8454" width="31.140625" style="1702" customWidth="1"/>
    <col min="8455" max="8455" width="17.85546875" style="1702" customWidth="1"/>
    <col min="8456" max="8456" width="19.85546875" style="1702" customWidth="1"/>
    <col min="8457" max="8457" width="17" style="1702" customWidth="1"/>
    <col min="8458" max="8458" width="13.140625" style="1702" bestFit="1" customWidth="1"/>
    <col min="8459" max="8459" width="17.28515625" style="1702" customWidth="1"/>
    <col min="8460" max="8460" width="21" style="1702" customWidth="1"/>
    <col min="8461" max="8704" width="9.140625" style="1702"/>
    <col min="8705" max="8705" width="6.140625" style="1702" bestFit="1" customWidth="1"/>
    <col min="8706" max="8706" width="34.5703125" style="1702" customWidth="1"/>
    <col min="8707" max="8707" width="10.140625" style="1702" customWidth="1"/>
    <col min="8708" max="8708" width="16.28515625" style="1702" customWidth="1"/>
    <col min="8709" max="8709" width="9.28515625" style="1702" customWidth="1"/>
    <col min="8710" max="8710" width="31.140625" style="1702" customWidth="1"/>
    <col min="8711" max="8711" width="17.85546875" style="1702" customWidth="1"/>
    <col min="8712" max="8712" width="19.85546875" style="1702" customWidth="1"/>
    <col min="8713" max="8713" width="17" style="1702" customWidth="1"/>
    <col min="8714" max="8714" width="13.140625" style="1702" bestFit="1" customWidth="1"/>
    <col min="8715" max="8715" width="17.28515625" style="1702" customWidth="1"/>
    <col min="8716" max="8716" width="21" style="1702" customWidth="1"/>
    <col min="8717" max="8960" width="9.140625" style="1702"/>
    <col min="8961" max="8961" width="6.140625" style="1702" bestFit="1" customWidth="1"/>
    <col min="8962" max="8962" width="34.5703125" style="1702" customWidth="1"/>
    <col min="8963" max="8963" width="10.140625" style="1702" customWidth="1"/>
    <col min="8964" max="8964" width="16.28515625" style="1702" customWidth="1"/>
    <col min="8965" max="8965" width="9.28515625" style="1702" customWidth="1"/>
    <col min="8966" max="8966" width="31.140625" style="1702" customWidth="1"/>
    <col min="8967" max="8967" width="17.85546875" style="1702" customWidth="1"/>
    <col min="8968" max="8968" width="19.85546875" style="1702" customWidth="1"/>
    <col min="8969" max="8969" width="17" style="1702" customWidth="1"/>
    <col min="8970" max="8970" width="13.140625" style="1702" bestFit="1" customWidth="1"/>
    <col min="8971" max="8971" width="17.28515625" style="1702" customWidth="1"/>
    <col min="8972" max="8972" width="21" style="1702" customWidth="1"/>
    <col min="8973" max="9216" width="9.140625" style="1702"/>
    <col min="9217" max="9217" width="6.140625" style="1702" bestFit="1" customWidth="1"/>
    <col min="9218" max="9218" width="34.5703125" style="1702" customWidth="1"/>
    <col min="9219" max="9219" width="10.140625" style="1702" customWidth="1"/>
    <col min="9220" max="9220" width="16.28515625" style="1702" customWidth="1"/>
    <col min="9221" max="9221" width="9.28515625" style="1702" customWidth="1"/>
    <col min="9222" max="9222" width="31.140625" style="1702" customWidth="1"/>
    <col min="9223" max="9223" width="17.85546875" style="1702" customWidth="1"/>
    <col min="9224" max="9224" width="19.85546875" style="1702" customWidth="1"/>
    <col min="9225" max="9225" width="17" style="1702" customWidth="1"/>
    <col min="9226" max="9226" width="13.140625" style="1702" bestFit="1" customWidth="1"/>
    <col min="9227" max="9227" width="17.28515625" style="1702" customWidth="1"/>
    <col min="9228" max="9228" width="21" style="1702" customWidth="1"/>
    <col min="9229" max="9472" width="9.140625" style="1702"/>
    <col min="9473" max="9473" width="6.140625" style="1702" bestFit="1" customWidth="1"/>
    <col min="9474" max="9474" width="34.5703125" style="1702" customWidth="1"/>
    <col min="9475" max="9475" width="10.140625" style="1702" customWidth="1"/>
    <col min="9476" max="9476" width="16.28515625" style="1702" customWidth="1"/>
    <col min="9477" max="9477" width="9.28515625" style="1702" customWidth="1"/>
    <col min="9478" max="9478" width="31.140625" style="1702" customWidth="1"/>
    <col min="9479" max="9479" width="17.85546875" style="1702" customWidth="1"/>
    <col min="9480" max="9480" width="19.85546875" style="1702" customWidth="1"/>
    <col min="9481" max="9481" width="17" style="1702" customWidth="1"/>
    <col min="9482" max="9482" width="13.140625" style="1702" bestFit="1" customWidth="1"/>
    <col min="9483" max="9483" width="17.28515625" style="1702" customWidth="1"/>
    <col min="9484" max="9484" width="21" style="1702" customWidth="1"/>
    <col min="9485" max="9728" width="9.140625" style="1702"/>
    <col min="9729" max="9729" width="6.140625" style="1702" bestFit="1" customWidth="1"/>
    <col min="9730" max="9730" width="34.5703125" style="1702" customWidth="1"/>
    <col min="9731" max="9731" width="10.140625" style="1702" customWidth="1"/>
    <col min="9732" max="9732" width="16.28515625" style="1702" customWidth="1"/>
    <col min="9733" max="9733" width="9.28515625" style="1702" customWidth="1"/>
    <col min="9734" max="9734" width="31.140625" style="1702" customWidth="1"/>
    <col min="9735" max="9735" width="17.85546875" style="1702" customWidth="1"/>
    <col min="9736" max="9736" width="19.85546875" style="1702" customWidth="1"/>
    <col min="9737" max="9737" width="17" style="1702" customWidth="1"/>
    <col min="9738" max="9738" width="13.140625" style="1702" bestFit="1" customWidth="1"/>
    <col min="9739" max="9739" width="17.28515625" style="1702" customWidth="1"/>
    <col min="9740" max="9740" width="21" style="1702" customWidth="1"/>
    <col min="9741" max="9984" width="9.140625" style="1702"/>
    <col min="9985" max="9985" width="6.140625" style="1702" bestFit="1" customWidth="1"/>
    <col min="9986" max="9986" width="34.5703125" style="1702" customWidth="1"/>
    <col min="9987" max="9987" width="10.140625" style="1702" customWidth="1"/>
    <col min="9988" max="9988" width="16.28515625" style="1702" customWidth="1"/>
    <col min="9989" max="9989" width="9.28515625" style="1702" customWidth="1"/>
    <col min="9990" max="9990" width="31.140625" style="1702" customWidth="1"/>
    <col min="9991" max="9991" width="17.85546875" style="1702" customWidth="1"/>
    <col min="9992" max="9992" width="19.85546875" style="1702" customWidth="1"/>
    <col min="9993" max="9993" width="17" style="1702" customWidth="1"/>
    <col min="9994" max="9994" width="13.140625" style="1702" bestFit="1" customWidth="1"/>
    <col min="9995" max="9995" width="17.28515625" style="1702" customWidth="1"/>
    <col min="9996" max="9996" width="21" style="1702" customWidth="1"/>
    <col min="9997" max="10240" width="9.140625" style="1702"/>
    <col min="10241" max="10241" width="6.140625" style="1702" bestFit="1" customWidth="1"/>
    <col min="10242" max="10242" width="34.5703125" style="1702" customWidth="1"/>
    <col min="10243" max="10243" width="10.140625" style="1702" customWidth="1"/>
    <col min="10244" max="10244" width="16.28515625" style="1702" customWidth="1"/>
    <col min="10245" max="10245" width="9.28515625" style="1702" customWidth="1"/>
    <col min="10246" max="10246" width="31.140625" style="1702" customWidth="1"/>
    <col min="10247" max="10247" width="17.85546875" style="1702" customWidth="1"/>
    <col min="10248" max="10248" width="19.85546875" style="1702" customWidth="1"/>
    <col min="10249" max="10249" width="17" style="1702" customWidth="1"/>
    <col min="10250" max="10250" width="13.140625" style="1702" bestFit="1" customWidth="1"/>
    <col min="10251" max="10251" width="17.28515625" style="1702" customWidth="1"/>
    <col min="10252" max="10252" width="21" style="1702" customWidth="1"/>
    <col min="10253" max="10496" width="9.140625" style="1702"/>
    <col min="10497" max="10497" width="6.140625" style="1702" bestFit="1" customWidth="1"/>
    <col min="10498" max="10498" width="34.5703125" style="1702" customWidth="1"/>
    <col min="10499" max="10499" width="10.140625" style="1702" customWidth="1"/>
    <col min="10500" max="10500" width="16.28515625" style="1702" customWidth="1"/>
    <col min="10501" max="10501" width="9.28515625" style="1702" customWidth="1"/>
    <col min="10502" max="10502" width="31.140625" style="1702" customWidth="1"/>
    <col min="10503" max="10503" width="17.85546875" style="1702" customWidth="1"/>
    <col min="10504" max="10504" width="19.85546875" style="1702" customWidth="1"/>
    <col min="10505" max="10505" width="17" style="1702" customWidth="1"/>
    <col min="10506" max="10506" width="13.140625" style="1702" bestFit="1" customWidth="1"/>
    <col min="10507" max="10507" width="17.28515625" style="1702" customWidth="1"/>
    <col min="10508" max="10508" width="21" style="1702" customWidth="1"/>
    <col min="10509" max="10752" width="9.140625" style="1702"/>
    <col min="10753" max="10753" width="6.140625" style="1702" bestFit="1" customWidth="1"/>
    <col min="10754" max="10754" width="34.5703125" style="1702" customWidth="1"/>
    <col min="10755" max="10755" width="10.140625" style="1702" customWidth="1"/>
    <col min="10756" max="10756" width="16.28515625" style="1702" customWidth="1"/>
    <col min="10757" max="10757" width="9.28515625" style="1702" customWidth="1"/>
    <col min="10758" max="10758" width="31.140625" style="1702" customWidth="1"/>
    <col min="10759" max="10759" width="17.85546875" style="1702" customWidth="1"/>
    <col min="10760" max="10760" width="19.85546875" style="1702" customWidth="1"/>
    <col min="10761" max="10761" width="17" style="1702" customWidth="1"/>
    <col min="10762" max="10762" width="13.140625" style="1702" bestFit="1" customWidth="1"/>
    <col min="10763" max="10763" width="17.28515625" style="1702" customWidth="1"/>
    <col min="10764" max="10764" width="21" style="1702" customWidth="1"/>
    <col min="10765" max="11008" width="9.140625" style="1702"/>
    <col min="11009" max="11009" width="6.140625" style="1702" bestFit="1" customWidth="1"/>
    <col min="11010" max="11010" width="34.5703125" style="1702" customWidth="1"/>
    <col min="11011" max="11011" width="10.140625" style="1702" customWidth="1"/>
    <col min="11012" max="11012" width="16.28515625" style="1702" customWidth="1"/>
    <col min="11013" max="11013" width="9.28515625" style="1702" customWidth="1"/>
    <col min="11014" max="11014" width="31.140625" style="1702" customWidth="1"/>
    <col min="11015" max="11015" width="17.85546875" style="1702" customWidth="1"/>
    <col min="11016" max="11016" width="19.85546875" style="1702" customWidth="1"/>
    <col min="11017" max="11017" width="17" style="1702" customWidth="1"/>
    <col min="11018" max="11018" width="13.140625" style="1702" bestFit="1" customWidth="1"/>
    <col min="11019" max="11019" width="17.28515625" style="1702" customWidth="1"/>
    <col min="11020" max="11020" width="21" style="1702" customWidth="1"/>
    <col min="11021" max="11264" width="9.140625" style="1702"/>
    <col min="11265" max="11265" width="6.140625" style="1702" bestFit="1" customWidth="1"/>
    <col min="11266" max="11266" width="34.5703125" style="1702" customWidth="1"/>
    <col min="11267" max="11267" width="10.140625" style="1702" customWidth="1"/>
    <col min="11268" max="11268" width="16.28515625" style="1702" customWidth="1"/>
    <col min="11269" max="11269" width="9.28515625" style="1702" customWidth="1"/>
    <col min="11270" max="11270" width="31.140625" style="1702" customWidth="1"/>
    <col min="11271" max="11271" width="17.85546875" style="1702" customWidth="1"/>
    <col min="11272" max="11272" width="19.85546875" style="1702" customWidth="1"/>
    <col min="11273" max="11273" width="17" style="1702" customWidth="1"/>
    <col min="11274" max="11274" width="13.140625" style="1702" bestFit="1" customWidth="1"/>
    <col min="11275" max="11275" width="17.28515625" style="1702" customWidth="1"/>
    <col min="11276" max="11276" width="21" style="1702" customWidth="1"/>
    <col min="11277" max="11520" width="9.140625" style="1702"/>
    <col min="11521" max="11521" width="6.140625" style="1702" bestFit="1" customWidth="1"/>
    <col min="11522" max="11522" width="34.5703125" style="1702" customWidth="1"/>
    <col min="11523" max="11523" width="10.140625" style="1702" customWidth="1"/>
    <col min="11524" max="11524" width="16.28515625" style="1702" customWidth="1"/>
    <col min="11525" max="11525" width="9.28515625" style="1702" customWidth="1"/>
    <col min="11526" max="11526" width="31.140625" style="1702" customWidth="1"/>
    <col min="11527" max="11527" width="17.85546875" style="1702" customWidth="1"/>
    <col min="11528" max="11528" width="19.85546875" style="1702" customWidth="1"/>
    <col min="11529" max="11529" width="17" style="1702" customWidth="1"/>
    <col min="11530" max="11530" width="13.140625" style="1702" bestFit="1" customWidth="1"/>
    <col min="11531" max="11531" width="17.28515625" style="1702" customWidth="1"/>
    <col min="11532" max="11532" width="21" style="1702" customWidth="1"/>
    <col min="11533" max="11776" width="9.140625" style="1702"/>
    <col min="11777" max="11777" width="6.140625" style="1702" bestFit="1" customWidth="1"/>
    <col min="11778" max="11778" width="34.5703125" style="1702" customWidth="1"/>
    <col min="11779" max="11779" width="10.140625" style="1702" customWidth="1"/>
    <col min="11780" max="11780" width="16.28515625" style="1702" customWidth="1"/>
    <col min="11781" max="11781" width="9.28515625" style="1702" customWidth="1"/>
    <col min="11782" max="11782" width="31.140625" style="1702" customWidth="1"/>
    <col min="11783" max="11783" width="17.85546875" style="1702" customWidth="1"/>
    <col min="11784" max="11784" width="19.85546875" style="1702" customWidth="1"/>
    <col min="11785" max="11785" width="17" style="1702" customWidth="1"/>
    <col min="11786" max="11786" width="13.140625" style="1702" bestFit="1" customWidth="1"/>
    <col min="11787" max="11787" width="17.28515625" style="1702" customWidth="1"/>
    <col min="11788" max="11788" width="21" style="1702" customWidth="1"/>
    <col min="11789" max="12032" width="9.140625" style="1702"/>
    <col min="12033" max="12033" width="6.140625" style="1702" bestFit="1" customWidth="1"/>
    <col min="12034" max="12034" width="34.5703125" style="1702" customWidth="1"/>
    <col min="12035" max="12035" width="10.140625" style="1702" customWidth="1"/>
    <col min="12036" max="12036" width="16.28515625" style="1702" customWidth="1"/>
    <col min="12037" max="12037" width="9.28515625" style="1702" customWidth="1"/>
    <col min="12038" max="12038" width="31.140625" style="1702" customWidth="1"/>
    <col min="12039" max="12039" width="17.85546875" style="1702" customWidth="1"/>
    <col min="12040" max="12040" width="19.85546875" style="1702" customWidth="1"/>
    <col min="12041" max="12041" width="17" style="1702" customWidth="1"/>
    <col min="12042" max="12042" width="13.140625" style="1702" bestFit="1" customWidth="1"/>
    <col min="12043" max="12043" width="17.28515625" style="1702" customWidth="1"/>
    <col min="12044" max="12044" width="21" style="1702" customWidth="1"/>
    <col min="12045" max="12288" width="9.140625" style="1702"/>
    <col min="12289" max="12289" width="6.140625" style="1702" bestFit="1" customWidth="1"/>
    <col min="12290" max="12290" width="34.5703125" style="1702" customWidth="1"/>
    <col min="12291" max="12291" width="10.140625" style="1702" customWidth="1"/>
    <col min="12292" max="12292" width="16.28515625" style="1702" customWidth="1"/>
    <col min="12293" max="12293" width="9.28515625" style="1702" customWidth="1"/>
    <col min="12294" max="12294" width="31.140625" style="1702" customWidth="1"/>
    <col min="12295" max="12295" width="17.85546875" style="1702" customWidth="1"/>
    <col min="12296" max="12296" width="19.85546875" style="1702" customWidth="1"/>
    <col min="12297" max="12297" width="17" style="1702" customWidth="1"/>
    <col min="12298" max="12298" width="13.140625" style="1702" bestFit="1" customWidth="1"/>
    <col min="12299" max="12299" width="17.28515625" style="1702" customWidth="1"/>
    <col min="12300" max="12300" width="21" style="1702" customWidth="1"/>
    <col min="12301" max="12544" width="9.140625" style="1702"/>
    <col min="12545" max="12545" width="6.140625" style="1702" bestFit="1" customWidth="1"/>
    <col min="12546" max="12546" width="34.5703125" style="1702" customWidth="1"/>
    <col min="12547" max="12547" width="10.140625" style="1702" customWidth="1"/>
    <col min="12548" max="12548" width="16.28515625" style="1702" customWidth="1"/>
    <col min="12549" max="12549" width="9.28515625" style="1702" customWidth="1"/>
    <col min="12550" max="12550" width="31.140625" style="1702" customWidth="1"/>
    <col min="12551" max="12551" width="17.85546875" style="1702" customWidth="1"/>
    <col min="12552" max="12552" width="19.85546875" style="1702" customWidth="1"/>
    <col min="12553" max="12553" width="17" style="1702" customWidth="1"/>
    <col min="12554" max="12554" width="13.140625" style="1702" bestFit="1" customWidth="1"/>
    <col min="12555" max="12555" width="17.28515625" style="1702" customWidth="1"/>
    <col min="12556" max="12556" width="21" style="1702" customWidth="1"/>
    <col min="12557" max="12800" width="9.140625" style="1702"/>
    <col min="12801" max="12801" width="6.140625" style="1702" bestFit="1" customWidth="1"/>
    <col min="12802" max="12802" width="34.5703125" style="1702" customWidth="1"/>
    <col min="12803" max="12803" width="10.140625" style="1702" customWidth="1"/>
    <col min="12804" max="12804" width="16.28515625" style="1702" customWidth="1"/>
    <col min="12805" max="12805" width="9.28515625" style="1702" customWidth="1"/>
    <col min="12806" max="12806" width="31.140625" style="1702" customWidth="1"/>
    <col min="12807" max="12807" width="17.85546875" style="1702" customWidth="1"/>
    <col min="12808" max="12808" width="19.85546875" style="1702" customWidth="1"/>
    <col min="12809" max="12809" width="17" style="1702" customWidth="1"/>
    <col min="12810" max="12810" width="13.140625" style="1702" bestFit="1" customWidth="1"/>
    <col min="12811" max="12811" width="17.28515625" style="1702" customWidth="1"/>
    <col min="12812" max="12812" width="21" style="1702" customWidth="1"/>
    <col min="12813" max="13056" width="9.140625" style="1702"/>
    <col min="13057" max="13057" width="6.140625" style="1702" bestFit="1" customWidth="1"/>
    <col min="13058" max="13058" width="34.5703125" style="1702" customWidth="1"/>
    <col min="13059" max="13059" width="10.140625" style="1702" customWidth="1"/>
    <col min="13060" max="13060" width="16.28515625" style="1702" customWidth="1"/>
    <col min="13061" max="13061" width="9.28515625" style="1702" customWidth="1"/>
    <col min="13062" max="13062" width="31.140625" style="1702" customWidth="1"/>
    <col min="13063" max="13063" width="17.85546875" style="1702" customWidth="1"/>
    <col min="13064" max="13064" width="19.85546875" style="1702" customWidth="1"/>
    <col min="13065" max="13065" width="17" style="1702" customWidth="1"/>
    <col min="13066" max="13066" width="13.140625" style="1702" bestFit="1" customWidth="1"/>
    <col min="13067" max="13067" width="17.28515625" style="1702" customWidth="1"/>
    <col min="13068" max="13068" width="21" style="1702" customWidth="1"/>
    <col min="13069" max="13312" width="9.140625" style="1702"/>
    <col min="13313" max="13313" width="6.140625" style="1702" bestFit="1" customWidth="1"/>
    <col min="13314" max="13314" width="34.5703125" style="1702" customWidth="1"/>
    <col min="13315" max="13315" width="10.140625" style="1702" customWidth="1"/>
    <col min="13316" max="13316" width="16.28515625" style="1702" customWidth="1"/>
    <col min="13317" max="13317" width="9.28515625" style="1702" customWidth="1"/>
    <col min="13318" max="13318" width="31.140625" style="1702" customWidth="1"/>
    <col min="13319" max="13319" width="17.85546875" style="1702" customWidth="1"/>
    <col min="13320" max="13320" width="19.85546875" style="1702" customWidth="1"/>
    <col min="13321" max="13321" width="17" style="1702" customWidth="1"/>
    <col min="13322" max="13322" width="13.140625" style="1702" bestFit="1" customWidth="1"/>
    <col min="13323" max="13323" width="17.28515625" style="1702" customWidth="1"/>
    <col min="13324" max="13324" width="21" style="1702" customWidth="1"/>
    <col min="13325" max="13568" width="9.140625" style="1702"/>
    <col min="13569" max="13569" width="6.140625" style="1702" bestFit="1" customWidth="1"/>
    <col min="13570" max="13570" width="34.5703125" style="1702" customWidth="1"/>
    <col min="13571" max="13571" width="10.140625" style="1702" customWidth="1"/>
    <col min="13572" max="13572" width="16.28515625" style="1702" customWidth="1"/>
    <col min="13573" max="13573" width="9.28515625" style="1702" customWidth="1"/>
    <col min="13574" max="13574" width="31.140625" style="1702" customWidth="1"/>
    <col min="13575" max="13575" width="17.85546875" style="1702" customWidth="1"/>
    <col min="13576" max="13576" width="19.85546875" style="1702" customWidth="1"/>
    <col min="13577" max="13577" width="17" style="1702" customWidth="1"/>
    <col min="13578" max="13578" width="13.140625" style="1702" bestFit="1" customWidth="1"/>
    <col min="13579" max="13579" width="17.28515625" style="1702" customWidth="1"/>
    <col min="13580" max="13580" width="21" style="1702" customWidth="1"/>
    <col min="13581" max="13824" width="9.140625" style="1702"/>
    <col min="13825" max="13825" width="6.140625" style="1702" bestFit="1" customWidth="1"/>
    <col min="13826" max="13826" width="34.5703125" style="1702" customWidth="1"/>
    <col min="13827" max="13827" width="10.140625" style="1702" customWidth="1"/>
    <col min="13828" max="13828" width="16.28515625" style="1702" customWidth="1"/>
    <col min="13829" max="13829" width="9.28515625" style="1702" customWidth="1"/>
    <col min="13830" max="13830" width="31.140625" style="1702" customWidth="1"/>
    <col min="13831" max="13831" width="17.85546875" style="1702" customWidth="1"/>
    <col min="13832" max="13832" width="19.85546875" style="1702" customWidth="1"/>
    <col min="13833" max="13833" width="17" style="1702" customWidth="1"/>
    <col min="13834" max="13834" width="13.140625" style="1702" bestFit="1" customWidth="1"/>
    <col min="13835" max="13835" width="17.28515625" style="1702" customWidth="1"/>
    <col min="13836" max="13836" width="21" style="1702" customWidth="1"/>
    <col min="13837" max="14080" width="9.140625" style="1702"/>
    <col min="14081" max="14081" width="6.140625" style="1702" bestFit="1" customWidth="1"/>
    <col min="14082" max="14082" width="34.5703125" style="1702" customWidth="1"/>
    <col min="14083" max="14083" width="10.140625" style="1702" customWidth="1"/>
    <col min="14084" max="14084" width="16.28515625" style="1702" customWidth="1"/>
    <col min="14085" max="14085" width="9.28515625" style="1702" customWidth="1"/>
    <col min="14086" max="14086" width="31.140625" style="1702" customWidth="1"/>
    <col min="14087" max="14087" width="17.85546875" style="1702" customWidth="1"/>
    <col min="14088" max="14088" width="19.85546875" style="1702" customWidth="1"/>
    <col min="14089" max="14089" width="17" style="1702" customWidth="1"/>
    <col min="14090" max="14090" width="13.140625" style="1702" bestFit="1" customWidth="1"/>
    <col min="14091" max="14091" width="17.28515625" style="1702" customWidth="1"/>
    <col min="14092" max="14092" width="21" style="1702" customWidth="1"/>
    <col min="14093" max="14336" width="9.140625" style="1702"/>
    <col min="14337" max="14337" width="6.140625" style="1702" bestFit="1" customWidth="1"/>
    <col min="14338" max="14338" width="34.5703125" style="1702" customWidth="1"/>
    <col min="14339" max="14339" width="10.140625" style="1702" customWidth="1"/>
    <col min="14340" max="14340" width="16.28515625" style="1702" customWidth="1"/>
    <col min="14341" max="14341" width="9.28515625" style="1702" customWidth="1"/>
    <col min="14342" max="14342" width="31.140625" style="1702" customWidth="1"/>
    <col min="14343" max="14343" width="17.85546875" style="1702" customWidth="1"/>
    <col min="14344" max="14344" width="19.85546875" style="1702" customWidth="1"/>
    <col min="14345" max="14345" width="17" style="1702" customWidth="1"/>
    <col min="14346" max="14346" width="13.140625" style="1702" bestFit="1" customWidth="1"/>
    <col min="14347" max="14347" width="17.28515625" style="1702" customWidth="1"/>
    <col min="14348" max="14348" width="21" style="1702" customWidth="1"/>
    <col min="14349" max="14592" width="9.140625" style="1702"/>
    <col min="14593" max="14593" width="6.140625" style="1702" bestFit="1" customWidth="1"/>
    <col min="14594" max="14594" width="34.5703125" style="1702" customWidth="1"/>
    <col min="14595" max="14595" width="10.140625" style="1702" customWidth="1"/>
    <col min="14596" max="14596" width="16.28515625" style="1702" customWidth="1"/>
    <col min="14597" max="14597" width="9.28515625" style="1702" customWidth="1"/>
    <col min="14598" max="14598" width="31.140625" style="1702" customWidth="1"/>
    <col min="14599" max="14599" width="17.85546875" style="1702" customWidth="1"/>
    <col min="14600" max="14600" width="19.85546875" style="1702" customWidth="1"/>
    <col min="14601" max="14601" width="17" style="1702" customWidth="1"/>
    <col min="14602" max="14602" width="13.140625" style="1702" bestFit="1" customWidth="1"/>
    <col min="14603" max="14603" width="17.28515625" style="1702" customWidth="1"/>
    <col min="14604" max="14604" width="21" style="1702" customWidth="1"/>
    <col min="14605" max="14848" width="9.140625" style="1702"/>
    <col min="14849" max="14849" width="6.140625" style="1702" bestFit="1" customWidth="1"/>
    <col min="14850" max="14850" width="34.5703125" style="1702" customWidth="1"/>
    <col min="14851" max="14851" width="10.140625" style="1702" customWidth="1"/>
    <col min="14852" max="14852" width="16.28515625" style="1702" customWidth="1"/>
    <col min="14853" max="14853" width="9.28515625" style="1702" customWidth="1"/>
    <col min="14854" max="14854" width="31.140625" style="1702" customWidth="1"/>
    <col min="14855" max="14855" width="17.85546875" style="1702" customWidth="1"/>
    <col min="14856" max="14856" width="19.85546875" style="1702" customWidth="1"/>
    <col min="14857" max="14857" width="17" style="1702" customWidth="1"/>
    <col min="14858" max="14858" width="13.140625" style="1702" bestFit="1" customWidth="1"/>
    <col min="14859" max="14859" width="17.28515625" style="1702" customWidth="1"/>
    <col min="14860" max="14860" width="21" style="1702" customWidth="1"/>
    <col min="14861" max="15104" width="9.140625" style="1702"/>
    <col min="15105" max="15105" width="6.140625" style="1702" bestFit="1" customWidth="1"/>
    <col min="15106" max="15106" width="34.5703125" style="1702" customWidth="1"/>
    <col min="15107" max="15107" width="10.140625" style="1702" customWidth="1"/>
    <col min="15108" max="15108" width="16.28515625" style="1702" customWidth="1"/>
    <col min="15109" max="15109" width="9.28515625" style="1702" customWidth="1"/>
    <col min="15110" max="15110" width="31.140625" style="1702" customWidth="1"/>
    <col min="15111" max="15111" width="17.85546875" style="1702" customWidth="1"/>
    <col min="15112" max="15112" width="19.85546875" style="1702" customWidth="1"/>
    <col min="15113" max="15113" width="17" style="1702" customWidth="1"/>
    <col min="15114" max="15114" width="13.140625" style="1702" bestFit="1" customWidth="1"/>
    <col min="15115" max="15115" width="17.28515625" style="1702" customWidth="1"/>
    <col min="15116" max="15116" width="21" style="1702" customWidth="1"/>
    <col min="15117" max="15360" width="9.140625" style="1702"/>
    <col min="15361" max="15361" width="6.140625" style="1702" bestFit="1" customWidth="1"/>
    <col min="15362" max="15362" width="34.5703125" style="1702" customWidth="1"/>
    <col min="15363" max="15363" width="10.140625" style="1702" customWidth="1"/>
    <col min="15364" max="15364" width="16.28515625" style="1702" customWidth="1"/>
    <col min="15365" max="15365" width="9.28515625" style="1702" customWidth="1"/>
    <col min="15366" max="15366" width="31.140625" style="1702" customWidth="1"/>
    <col min="15367" max="15367" width="17.85546875" style="1702" customWidth="1"/>
    <col min="15368" max="15368" width="19.85546875" style="1702" customWidth="1"/>
    <col min="15369" max="15369" width="17" style="1702" customWidth="1"/>
    <col min="15370" max="15370" width="13.140625" style="1702" bestFit="1" customWidth="1"/>
    <col min="15371" max="15371" width="17.28515625" style="1702" customWidth="1"/>
    <col min="15372" max="15372" width="21" style="1702" customWidth="1"/>
    <col min="15373" max="15616" width="9.140625" style="1702"/>
    <col min="15617" max="15617" width="6.140625" style="1702" bestFit="1" customWidth="1"/>
    <col min="15618" max="15618" width="34.5703125" style="1702" customWidth="1"/>
    <col min="15619" max="15619" width="10.140625" style="1702" customWidth="1"/>
    <col min="15620" max="15620" width="16.28515625" style="1702" customWidth="1"/>
    <col min="15621" max="15621" width="9.28515625" style="1702" customWidth="1"/>
    <col min="15622" max="15622" width="31.140625" style="1702" customWidth="1"/>
    <col min="15623" max="15623" width="17.85546875" style="1702" customWidth="1"/>
    <col min="15624" max="15624" width="19.85546875" style="1702" customWidth="1"/>
    <col min="15625" max="15625" width="17" style="1702" customWidth="1"/>
    <col min="15626" max="15626" width="13.140625" style="1702" bestFit="1" customWidth="1"/>
    <col min="15627" max="15627" width="17.28515625" style="1702" customWidth="1"/>
    <col min="15628" max="15628" width="21" style="1702" customWidth="1"/>
    <col min="15629" max="15872" width="9.140625" style="1702"/>
    <col min="15873" max="15873" width="6.140625" style="1702" bestFit="1" customWidth="1"/>
    <col min="15874" max="15874" width="34.5703125" style="1702" customWidth="1"/>
    <col min="15875" max="15875" width="10.140625" style="1702" customWidth="1"/>
    <col min="15876" max="15876" width="16.28515625" style="1702" customWidth="1"/>
    <col min="15877" max="15877" width="9.28515625" style="1702" customWidth="1"/>
    <col min="15878" max="15878" width="31.140625" style="1702" customWidth="1"/>
    <col min="15879" max="15879" width="17.85546875" style="1702" customWidth="1"/>
    <col min="15880" max="15880" width="19.85546875" style="1702" customWidth="1"/>
    <col min="15881" max="15881" width="17" style="1702" customWidth="1"/>
    <col min="15882" max="15882" width="13.140625" style="1702" bestFit="1" customWidth="1"/>
    <col min="15883" max="15883" width="17.28515625" style="1702" customWidth="1"/>
    <col min="15884" max="15884" width="21" style="1702" customWidth="1"/>
    <col min="15885" max="16128" width="9.140625" style="1702"/>
    <col min="16129" max="16129" width="6.140625" style="1702" bestFit="1" customWidth="1"/>
    <col min="16130" max="16130" width="34.5703125" style="1702" customWidth="1"/>
    <col min="16131" max="16131" width="10.140625" style="1702" customWidth="1"/>
    <col min="16132" max="16132" width="16.28515625" style="1702" customWidth="1"/>
    <col min="16133" max="16133" width="9.28515625" style="1702" customWidth="1"/>
    <col min="16134" max="16134" width="31.140625" style="1702" customWidth="1"/>
    <col min="16135" max="16135" width="17.85546875" style="1702" customWidth="1"/>
    <col min="16136" max="16136" width="19.85546875" style="1702" customWidth="1"/>
    <col min="16137" max="16137" width="17" style="1702" customWidth="1"/>
    <col min="16138" max="16138" width="13.140625" style="1702" bestFit="1" customWidth="1"/>
    <col min="16139" max="16139" width="17.28515625" style="1702" customWidth="1"/>
    <col min="16140" max="16140" width="21" style="1702" customWidth="1"/>
    <col min="16141" max="16384" width="9.140625" style="1702"/>
  </cols>
  <sheetData>
    <row r="2" spans="1:9" x14ac:dyDescent="0.2">
      <c r="A2" s="2290" t="s">
        <v>719</v>
      </c>
      <c r="B2" s="2290"/>
      <c r="C2" s="2290"/>
      <c r="D2" s="2290"/>
      <c r="E2" s="2290"/>
      <c r="F2" s="2290"/>
      <c r="G2" s="2290"/>
      <c r="H2" s="2290"/>
    </row>
    <row r="3" spans="1:9" ht="18" customHeight="1" x14ac:dyDescent="0.2">
      <c r="A3" s="2290" t="s">
        <v>720</v>
      </c>
      <c r="B3" s="2290"/>
      <c r="C3" s="2290"/>
      <c r="D3" s="2290"/>
      <c r="E3" s="2290"/>
      <c r="F3" s="2290"/>
      <c r="G3" s="2290"/>
      <c r="H3" s="2290"/>
    </row>
    <row r="4" spans="1:9" s="1703" customFormat="1" ht="18" customHeight="1" x14ac:dyDescent="0.2">
      <c r="A4" s="2288" t="s">
        <v>721</v>
      </c>
      <c r="B4" s="2288"/>
      <c r="C4" s="2288"/>
      <c r="D4" s="2288"/>
      <c r="E4" s="2288"/>
      <c r="F4" s="2288"/>
      <c r="G4" s="2288"/>
      <c r="H4" s="2288"/>
    </row>
    <row r="5" spans="1:9" s="1703" customFormat="1" ht="18" customHeight="1" x14ac:dyDescent="0.2">
      <c r="A5" s="2287" t="str">
        <f>' ССР (нов)'!A6:G6</f>
        <v xml:space="preserve">Перекладка теплового ввода </v>
      </c>
      <c r="B5" s="2288"/>
      <c r="C5" s="2288"/>
      <c r="D5" s="2288"/>
      <c r="E5" s="2288"/>
      <c r="F5" s="2288"/>
      <c r="G5" s="2288"/>
      <c r="H5" s="2288"/>
    </row>
    <row r="6" spans="1:9" s="1703" customFormat="1" ht="30" customHeight="1" x14ac:dyDescent="0.2">
      <c r="A6" s="2291" t="str">
        <f>' ССР (нов)'!A7:G7</f>
        <v>г. Москва , ул. Гамалеи д.11к.1</v>
      </c>
      <c r="B6" s="2292"/>
      <c r="C6" s="2292"/>
      <c r="D6" s="2292"/>
      <c r="E6" s="2292"/>
      <c r="F6" s="2292"/>
      <c r="G6" s="2292"/>
      <c r="H6" s="2292"/>
    </row>
    <row r="7" spans="1:9" s="1703" customFormat="1" ht="16.5" thickBot="1" x14ac:dyDescent="0.25">
      <c r="A7" s="1704"/>
      <c r="B7" s="1704"/>
      <c r="C7" s="1704"/>
      <c r="D7" s="1705"/>
      <c r="E7" s="1705"/>
      <c r="F7" s="1705"/>
      <c r="G7" s="1705"/>
      <c r="H7" s="1705"/>
    </row>
    <row r="8" spans="1:9" s="1712" customFormat="1" ht="44.25" customHeight="1" thickBot="1" x14ac:dyDescent="0.25">
      <c r="A8" s="1706" t="s">
        <v>31</v>
      </c>
      <c r="B8" s="1707" t="s">
        <v>722</v>
      </c>
      <c r="C8" s="1708" t="s">
        <v>723</v>
      </c>
      <c r="D8" s="1709" t="s">
        <v>724</v>
      </c>
      <c r="E8" s="1709" t="s">
        <v>725</v>
      </c>
      <c r="F8" s="1709" t="s">
        <v>726</v>
      </c>
      <c r="G8" s="1710" t="s">
        <v>0</v>
      </c>
      <c r="H8" s="1711" t="s">
        <v>727</v>
      </c>
    </row>
    <row r="9" spans="1:9" s="1703" customFormat="1" ht="19.5" thickBot="1" x14ac:dyDescent="0.25">
      <c r="A9" s="1713"/>
      <c r="B9" s="1714" t="s">
        <v>52</v>
      </c>
      <c r="C9" s="1715"/>
      <c r="D9" s="1716"/>
      <c r="E9" s="1716"/>
      <c r="F9" s="1716"/>
      <c r="G9" s="1716"/>
      <c r="H9" s="1717"/>
    </row>
    <row r="10" spans="1:9" s="1703" customFormat="1" ht="51" customHeight="1" thickBot="1" x14ac:dyDescent="0.25">
      <c r="A10" s="1718">
        <v>1</v>
      </c>
      <c r="B10" s="1719" t="s">
        <v>728</v>
      </c>
      <c r="C10" s="1720"/>
      <c r="D10" s="1721">
        <f>экол!G17+Геология!G20+геодезия!G21</f>
        <v>19471.799999999996</v>
      </c>
      <c r="E10" s="1722">
        <v>1</v>
      </c>
      <c r="F10" s="1721"/>
      <c r="G10" s="1721" t="str">
        <f>CONCATENATE(D10,"*",E10)</f>
        <v>19471,8*1</v>
      </c>
      <c r="H10" s="1723">
        <f>ROUND(D10*E10,2)</f>
        <v>19471.8</v>
      </c>
    </row>
    <row r="11" spans="1:9" s="1703" customFormat="1" ht="48" hidden="1" customHeight="1" x14ac:dyDescent="0.2">
      <c r="A11" s="1724">
        <v>2</v>
      </c>
      <c r="B11" s="1725" t="s">
        <v>729</v>
      </c>
      <c r="C11" s="1726" t="s">
        <v>730</v>
      </c>
      <c r="D11" s="1727">
        <v>0</v>
      </c>
      <c r="E11" s="1728">
        <v>1</v>
      </c>
      <c r="F11" s="1727"/>
      <c r="G11" s="1727" t="str">
        <f>CONCATENATE(D11,"*",E11)</f>
        <v>0*1</v>
      </c>
      <c r="H11" s="1729">
        <f>ROUND(D11*E11,2)</f>
        <v>0</v>
      </c>
    </row>
    <row r="12" spans="1:9" s="1703" customFormat="1" ht="42" hidden="1" customHeight="1" x14ac:dyDescent="0.2">
      <c r="A12" s="1730">
        <v>3</v>
      </c>
      <c r="B12" s="1731" t="s">
        <v>731</v>
      </c>
      <c r="C12" s="1732">
        <v>7</v>
      </c>
      <c r="D12" s="1733">
        <v>0</v>
      </c>
      <c r="E12" s="1733">
        <v>11.37</v>
      </c>
      <c r="F12" s="1734" t="s">
        <v>732</v>
      </c>
      <c r="G12" s="1733" t="str">
        <f>CONCATENATE(D12,"*",E12)</f>
        <v>0*11,37</v>
      </c>
      <c r="H12" s="1735">
        <f>ROUND(D12*E12,2)</f>
        <v>0</v>
      </c>
      <c r="I12" s="1736"/>
    </row>
    <row r="13" spans="1:9" s="1703" customFormat="1" ht="42" hidden="1" customHeight="1" thickBot="1" x14ac:dyDescent="0.25">
      <c r="A13" s="1730">
        <v>4</v>
      </c>
      <c r="B13" s="1737" t="s">
        <v>733</v>
      </c>
      <c r="C13" s="1732">
        <v>1</v>
      </c>
      <c r="D13" s="1733">
        <v>0</v>
      </c>
      <c r="E13" s="1728">
        <v>1</v>
      </c>
      <c r="F13" s="1734"/>
      <c r="G13" s="1733" t="str">
        <f>CONCATENATE(D13,"*",E13)</f>
        <v>0*1</v>
      </c>
      <c r="H13" s="1735">
        <f>ROUND(D13*E13,2)</f>
        <v>0</v>
      </c>
      <c r="I13" s="1736"/>
    </row>
    <row r="14" spans="1:9" s="1742" customFormat="1" ht="19.5" thickBot="1" x14ac:dyDescent="0.25">
      <c r="A14" s="1738"/>
      <c r="B14" s="1739" t="s">
        <v>54</v>
      </c>
      <c r="C14" s="1716"/>
      <c r="D14" s="1740"/>
      <c r="E14" s="1740"/>
      <c r="F14" s="1740"/>
      <c r="G14" s="1740"/>
      <c r="H14" s="1741"/>
    </row>
    <row r="15" spans="1:9" s="1703" customFormat="1" ht="36.75" customHeight="1" x14ac:dyDescent="0.2">
      <c r="A15" s="1718">
        <v>1</v>
      </c>
      <c r="B15" s="1743" t="s">
        <v>55</v>
      </c>
      <c r="C15" s="1720">
        <v>1</v>
      </c>
      <c r="D15" s="1721">
        <f>Т.с.!H66</f>
        <v>258244</v>
      </c>
      <c r="E15" s="1721">
        <v>0.4</v>
      </c>
      <c r="F15" s="1744" t="s">
        <v>709</v>
      </c>
      <c r="G15" s="1721" t="str">
        <f t="shared" ref="G15:G23" si="0">CONCATENATE(D15,"*",E15)</f>
        <v>258244*0,4</v>
      </c>
      <c r="H15" s="1723">
        <f t="shared" ref="H15:H22" si="1">ROUND(D15*E15,2)</f>
        <v>103297.60000000001</v>
      </c>
    </row>
    <row r="16" spans="1:9" s="1703" customFormat="1" ht="36.75" customHeight="1" x14ac:dyDescent="0.2">
      <c r="A16" s="1718">
        <v>2</v>
      </c>
      <c r="B16" s="1743" t="s">
        <v>734</v>
      </c>
      <c r="C16" s="1720">
        <v>1</v>
      </c>
      <c r="D16" s="1721">
        <f>Т.с.!H66*0.02</f>
        <v>5164.88</v>
      </c>
      <c r="E16" s="1721">
        <v>0.4</v>
      </c>
      <c r="F16" s="1744" t="s">
        <v>709</v>
      </c>
      <c r="G16" s="1721" t="str">
        <f>CONCATENATE(D16,"*",E16)</f>
        <v>5164,88*0,4</v>
      </c>
      <c r="H16" s="1723">
        <f>ROUND(D16*E16,2)</f>
        <v>2065.9499999999998</v>
      </c>
    </row>
    <row r="17" spans="1:10" s="1703" customFormat="1" ht="33" hidden="1" customHeight="1" x14ac:dyDescent="0.2">
      <c r="A17" s="1724">
        <v>2</v>
      </c>
      <c r="B17" s="1745" t="s">
        <v>286</v>
      </c>
      <c r="C17" s="1726"/>
      <c r="D17" s="1727">
        <v>0</v>
      </c>
      <c r="E17" s="1727">
        <v>0.4</v>
      </c>
      <c r="F17" s="1746" t="s">
        <v>709</v>
      </c>
      <c r="G17" s="1727" t="str">
        <f t="shared" si="0"/>
        <v>0*0,4</v>
      </c>
      <c r="H17" s="1729">
        <f t="shared" si="1"/>
        <v>0</v>
      </c>
    </row>
    <row r="18" spans="1:10" s="1703" customFormat="1" ht="33" customHeight="1" x14ac:dyDescent="0.2">
      <c r="A18" s="1724">
        <v>3</v>
      </c>
      <c r="B18" s="1747" t="s">
        <v>735</v>
      </c>
      <c r="C18" s="1726">
        <v>1</v>
      </c>
      <c r="D18" s="1727">
        <f>Т.с.!H75</f>
        <v>54000</v>
      </c>
      <c r="E18" s="1727">
        <v>0.4</v>
      </c>
      <c r="F18" s="1746" t="s">
        <v>709</v>
      </c>
      <c r="G18" s="1727" t="str">
        <f t="shared" si="0"/>
        <v>54000*0,4</v>
      </c>
      <c r="H18" s="1729">
        <f t="shared" si="1"/>
        <v>21600</v>
      </c>
    </row>
    <row r="19" spans="1:10" s="1703" customFormat="1" ht="33" customHeight="1" x14ac:dyDescent="0.2">
      <c r="A19" s="1724">
        <v>4</v>
      </c>
      <c r="B19" s="1747" t="s">
        <v>736</v>
      </c>
      <c r="C19" s="1726">
        <v>1</v>
      </c>
      <c r="D19" s="1727">
        <f>Т.с.!H88</f>
        <v>14058</v>
      </c>
      <c r="E19" s="1728">
        <v>1</v>
      </c>
      <c r="F19" s="1727"/>
      <c r="G19" s="1727" t="str">
        <f t="shared" si="0"/>
        <v>14058*1</v>
      </c>
      <c r="H19" s="1729">
        <f t="shared" si="1"/>
        <v>14058</v>
      </c>
    </row>
    <row r="20" spans="1:10" s="1703" customFormat="1" ht="33" customHeight="1" x14ac:dyDescent="0.2">
      <c r="A20" s="1724">
        <v>5</v>
      </c>
      <c r="B20" s="1747" t="s">
        <v>737</v>
      </c>
      <c r="C20" s="1726"/>
      <c r="D20" s="1727">
        <f>ROUND(РДП!I24+РДП!I20,2)</f>
        <v>48900.67</v>
      </c>
      <c r="E20" s="1727"/>
      <c r="F20" s="1746"/>
      <c r="G20" s="1727" t="str">
        <f>CONCATENATE(D20)</f>
        <v>48900,67</v>
      </c>
      <c r="H20" s="1729">
        <f>ROUND(D20,2)</f>
        <v>48900.67</v>
      </c>
      <c r="I20" s="1736"/>
    </row>
    <row r="21" spans="1:10" s="1703" customFormat="1" ht="30" x14ac:dyDescent="0.2">
      <c r="A21" s="1724">
        <v>5</v>
      </c>
      <c r="B21" s="1747" t="s">
        <v>639</v>
      </c>
      <c r="C21" s="1726">
        <v>2</v>
      </c>
      <c r="D21" s="1727">
        <f>'ООС+ТР'!H74</f>
        <v>72995.199999999997</v>
      </c>
      <c r="E21" s="1728">
        <v>1</v>
      </c>
      <c r="F21" s="1727"/>
      <c r="G21" s="1727" t="str">
        <f t="shared" si="0"/>
        <v>72995,2*1</v>
      </c>
      <c r="H21" s="1729">
        <f t="shared" si="1"/>
        <v>72995.199999999997</v>
      </c>
    </row>
    <row r="22" spans="1:10" s="1703" customFormat="1" hidden="1" x14ac:dyDescent="0.2">
      <c r="A22" s="1724">
        <v>6</v>
      </c>
      <c r="B22" s="1747" t="s">
        <v>629</v>
      </c>
      <c r="C22" s="1726"/>
      <c r="D22" s="1727">
        <v>0</v>
      </c>
      <c r="E22" s="1728">
        <v>1</v>
      </c>
      <c r="F22" s="1727"/>
      <c r="G22" s="1727" t="str">
        <f t="shared" si="0"/>
        <v>0*1</v>
      </c>
      <c r="H22" s="1729">
        <f t="shared" si="1"/>
        <v>0</v>
      </c>
    </row>
    <row r="23" spans="1:10" s="1703" customFormat="1" ht="33" customHeight="1" thickBot="1" x14ac:dyDescent="0.25">
      <c r="A23" s="1730">
        <v>6</v>
      </c>
      <c r="B23" s="1748" t="s">
        <v>61</v>
      </c>
      <c r="C23" s="1732">
        <v>3</v>
      </c>
      <c r="D23" s="1733">
        <f>ПОЖ!H17</f>
        <v>4500</v>
      </c>
      <c r="E23" s="1749">
        <v>1</v>
      </c>
      <c r="F23" s="1750"/>
      <c r="G23" s="1733" t="str">
        <f t="shared" si="0"/>
        <v>4500*1</v>
      </c>
      <c r="H23" s="1735">
        <f>ROUND(D23*E23,2)</f>
        <v>4500</v>
      </c>
    </row>
    <row r="24" spans="1:10" s="1742" customFormat="1" ht="19.5" customHeight="1" thickBot="1" x14ac:dyDescent="0.25">
      <c r="A24" s="1751"/>
      <c r="B24" s="1752" t="s">
        <v>738</v>
      </c>
      <c r="C24" s="1753"/>
      <c r="D24" s="1740">
        <f>SUM(D10:D23)</f>
        <v>477334.55</v>
      </c>
      <c r="E24" s="1740"/>
      <c r="F24" s="1740"/>
      <c r="G24" s="1740"/>
      <c r="H24" s="1740">
        <f>SUM(H10:H23)</f>
        <v>286889.22000000003</v>
      </c>
      <c r="I24" s="1754"/>
      <c r="J24" s="1755"/>
    </row>
    <row r="25" spans="1:10" x14ac:dyDescent="0.2">
      <c r="A25" s="1756"/>
      <c r="B25" s="1756"/>
      <c r="C25" s="1756"/>
    </row>
    <row r="26" spans="1:10" ht="21" customHeight="1" x14ac:dyDescent="0.2">
      <c r="A26" s="2293" t="s">
        <v>739</v>
      </c>
      <c r="B26" s="2293"/>
      <c r="C26" s="2293"/>
      <c r="D26" s="2293"/>
      <c r="E26" s="2293"/>
      <c r="F26" s="2293"/>
      <c r="G26" s="2293"/>
      <c r="H26" s="2293"/>
    </row>
    <row r="27" spans="1:10" ht="43.5" customHeight="1" x14ac:dyDescent="0.2">
      <c r="A27" s="2289" t="s">
        <v>740</v>
      </c>
      <c r="B27" s="2289"/>
      <c r="C27" s="2289"/>
      <c r="D27" s="2289"/>
      <c r="E27" s="2289"/>
      <c r="F27" s="2289"/>
      <c r="G27" s="2289"/>
      <c r="H27" s="2289"/>
    </row>
    <row r="28" spans="1:10" x14ac:dyDescent="0.2">
      <c r="A28" s="1756"/>
      <c r="B28" s="1758"/>
      <c r="C28" s="1758"/>
      <c r="D28" s="1758"/>
      <c r="E28" s="1758"/>
      <c r="F28" s="1758"/>
      <c r="G28" s="1758"/>
      <c r="H28" s="1758"/>
    </row>
    <row r="29" spans="1:10" ht="45.75" customHeight="1" x14ac:dyDescent="0.2">
      <c r="A29" s="1756"/>
      <c r="B29" s="2285" t="s">
        <v>741</v>
      </c>
      <c r="C29" s="2285"/>
      <c r="D29" s="2285"/>
      <c r="E29" s="2285"/>
      <c r="F29" s="2285"/>
      <c r="G29" s="2285"/>
      <c r="H29" s="2285"/>
    </row>
    <row r="30" spans="1:10" ht="10.5" customHeight="1" x14ac:dyDescent="0.2">
      <c r="A30" s="1756"/>
      <c r="B30" s="1756"/>
      <c r="C30" s="1756"/>
    </row>
    <row r="31" spans="1:10" x14ac:dyDescent="0.2">
      <c r="A31" s="2286" t="s">
        <v>751</v>
      </c>
      <c r="B31" s="2286"/>
      <c r="C31" s="2286"/>
      <c r="D31" s="2286"/>
      <c r="E31" s="1759"/>
      <c r="F31" s="1759"/>
      <c r="G31" s="1759"/>
      <c r="H31" s="1759"/>
    </row>
    <row r="32" spans="1:10" ht="27" customHeight="1" x14ac:dyDescent="0.2">
      <c r="A32" s="1759" t="s">
        <v>742</v>
      </c>
      <c r="B32" s="1702" t="s">
        <v>743</v>
      </c>
    </row>
    <row r="33" spans="1:17" ht="27.75" customHeight="1" x14ac:dyDescent="0.2">
      <c r="A33" s="1759" t="s">
        <v>744</v>
      </c>
      <c r="B33" s="1702" t="s">
        <v>745</v>
      </c>
    </row>
    <row r="34" spans="1:17" ht="26.25" customHeight="1" x14ac:dyDescent="0.2">
      <c r="A34" s="1759" t="s">
        <v>746</v>
      </c>
      <c r="B34" s="2285" t="s">
        <v>747</v>
      </c>
      <c r="C34" s="2285"/>
      <c r="D34" s="2285"/>
      <c r="E34" s="2285"/>
      <c r="F34" s="2285"/>
      <c r="G34" s="2285"/>
      <c r="H34" s="2285"/>
      <c r="I34" s="1760">
        <f>G48</f>
        <v>27.3</v>
      </c>
      <c r="J34" s="1761" t="s">
        <v>713</v>
      </c>
    </row>
    <row r="35" spans="1:17" x14ac:dyDescent="0.2">
      <c r="A35" s="1759" t="s">
        <v>748</v>
      </c>
      <c r="B35" s="2285" t="s">
        <v>749</v>
      </c>
      <c r="C35" s="2285"/>
      <c r="D35" s="2285"/>
      <c r="E35" s="2285"/>
      <c r="F35" s="2285"/>
      <c r="G35" s="2285"/>
      <c r="H35" s="2285"/>
    </row>
    <row r="36" spans="1:17" ht="30.75" customHeight="1" x14ac:dyDescent="0.2"/>
    <row r="37" spans="1:17" x14ac:dyDescent="0.2">
      <c r="C37" s="1762" t="str">
        <f>CONCATENATE("РПнж = ",H24,"*",I34,"% =  ")</f>
        <v xml:space="preserve">РПнж = 286889,22*27,3% =  </v>
      </c>
      <c r="D37" s="1763">
        <f>ROUND(H24*I34/100,2)</f>
        <v>78320.759999999995</v>
      </c>
      <c r="E37" s="1764" t="s">
        <v>710</v>
      </c>
      <c r="F37" s="1764"/>
      <c r="G37" s="1764"/>
      <c r="H37" s="1764"/>
    </row>
    <row r="38" spans="1:17" x14ac:dyDescent="0.2">
      <c r="C38" s="1762" t="s">
        <v>711</v>
      </c>
      <c r="D38" s="1763">
        <f>ROUND(D37*0.18,2)</f>
        <v>14097.74</v>
      </c>
      <c r="E38" s="1764" t="s">
        <v>710</v>
      </c>
      <c r="F38" s="1764"/>
      <c r="G38" s="1764"/>
      <c r="H38" s="1764"/>
    </row>
    <row r="39" spans="1:17" x14ac:dyDescent="0.2">
      <c r="C39" s="1762" t="s">
        <v>712</v>
      </c>
      <c r="D39" s="1763">
        <f>D37+D38</f>
        <v>92418.5</v>
      </c>
      <c r="E39" s="1764" t="s">
        <v>710</v>
      </c>
      <c r="F39" s="1764"/>
      <c r="G39" s="1764"/>
      <c r="H39" s="1764"/>
    </row>
    <row r="43" spans="1:17" s="1766" customFormat="1" ht="18.75" x14ac:dyDescent="0.2">
      <c r="A43" s="1765"/>
      <c r="C43" s="1767"/>
      <c r="D43" s="1768" t="s">
        <v>150</v>
      </c>
      <c r="E43" s="1769"/>
      <c r="F43" s="1769"/>
      <c r="G43" s="1769"/>
      <c r="H43" s="1769"/>
      <c r="I43" s="1769"/>
      <c r="J43" s="1769"/>
      <c r="K43" s="1770"/>
      <c r="L43" s="1770"/>
      <c r="M43" s="1771"/>
      <c r="N43" s="1772"/>
      <c r="O43" s="1772"/>
      <c r="P43" s="1773"/>
      <c r="Q43" s="1773"/>
    </row>
    <row r="44" spans="1:17" s="1766" customFormat="1" ht="16.5" thickBot="1" x14ac:dyDescent="0.25">
      <c r="A44" s="1765"/>
      <c r="C44" s="1765"/>
      <c r="E44" s="1774" t="s">
        <v>714</v>
      </c>
      <c r="F44" s="1775" t="s">
        <v>715</v>
      </c>
      <c r="G44" s="1776" t="s">
        <v>655</v>
      </c>
      <c r="H44" s="1771"/>
      <c r="I44" s="1772"/>
      <c r="J44" s="1772"/>
      <c r="L44" s="1777"/>
    </row>
    <row r="45" spans="1:17" s="1766" customFormat="1" ht="16.5" thickBot="1" x14ac:dyDescent="0.25">
      <c r="A45" s="1765"/>
      <c r="B45" s="1765"/>
      <c r="C45" s="1765"/>
      <c r="F45" s="1778" t="s">
        <v>716</v>
      </c>
      <c r="G45" s="1779">
        <v>33.75</v>
      </c>
      <c r="H45" s="1771"/>
      <c r="I45" s="1772"/>
      <c r="J45" s="1772"/>
      <c r="L45" s="1780"/>
    </row>
    <row r="46" spans="1:17" s="1766" customFormat="1" x14ac:dyDescent="0.2">
      <c r="A46" s="1765"/>
      <c r="B46" s="1765"/>
      <c r="C46" s="1765"/>
      <c r="F46" s="1781" t="s">
        <v>717</v>
      </c>
      <c r="G46" s="1782"/>
      <c r="H46" s="1771"/>
      <c r="I46" s="1772"/>
      <c r="J46" s="1772"/>
      <c r="L46" s="1780"/>
    </row>
    <row r="47" spans="1:17" s="1766" customFormat="1" x14ac:dyDescent="0.2">
      <c r="A47" s="1765"/>
      <c r="F47" s="1783">
        <v>0.15</v>
      </c>
      <c r="G47" s="1784">
        <v>29.25</v>
      </c>
      <c r="H47" s="1771"/>
      <c r="I47" s="1772"/>
      <c r="J47" s="1772"/>
      <c r="L47" s="1780"/>
    </row>
    <row r="48" spans="1:17" s="1766" customFormat="1" x14ac:dyDescent="0.2">
      <c r="A48" s="1765"/>
      <c r="B48" s="1785"/>
      <c r="C48" s="1786"/>
      <c r="F48" s="1787">
        <v>0.25</v>
      </c>
      <c r="G48" s="1788">
        <v>27.3</v>
      </c>
      <c r="H48" s="1771"/>
      <c r="I48" s="1772"/>
      <c r="J48" s="1772"/>
      <c r="L48" s="1780"/>
    </row>
    <row r="49" spans="1:12" s="1766" customFormat="1" x14ac:dyDescent="0.2">
      <c r="A49" s="1765"/>
      <c r="B49" s="1785"/>
      <c r="C49" s="1786"/>
      <c r="F49" s="1787">
        <v>0.5</v>
      </c>
      <c r="G49" s="1788">
        <v>20.22</v>
      </c>
      <c r="H49" s="1771"/>
      <c r="I49" s="1772"/>
      <c r="J49" s="1772"/>
      <c r="L49" s="1780"/>
    </row>
    <row r="50" spans="1:12" s="1766" customFormat="1" x14ac:dyDescent="0.2">
      <c r="A50" s="1765"/>
      <c r="B50" s="1785"/>
      <c r="C50" s="1786"/>
      <c r="F50" s="1787">
        <v>0.75</v>
      </c>
      <c r="G50" s="1788">
        <v>16.649999999999999</v>
      </c>
      <c r="H50" s="1771"/>
      <c r="I50" s="1772"/>
      <c r="J50" s="1772"/>
      <c r="L50" s="1780"/>
    </row>
    <row r="51" spans="1:12" s="1766" customFormat="1" x14ac:dyDescent="0.2">
      <c r="A51" s="1765"/>
      <c r="B51" s="1785"/>
      <c r="C51" s="1786"/>
      <c r="F51" s="1787">
        <v>1</v>
      </c>
      <c r="G51" s="1788">
        <v>12.69</v>
      </c>
      <c r="H51" s="1771"/>
      <c r="I51" s="1772"/>
      <c r="J51" s="1772"/>
      <c r="L51" s="1780"/>
    </row>
    <row r="52" spans="1:12" s="1766" customFormat="1" x14ac:dyDescent="0.2">
      <c r="A52" s="1765"/>
      <c r="B52" s="1785"/>
      <c r="C52" s="1786"/>
      <c r="F52" s="1787">
        <v>1.5</v>
      </c>
      <c r="G52" s="1788">
        <v>11.88</v>
      </c>
      <c r="H52" s="1771"/>
      <c r="I52" s="1772"/>
      <c r="J52" s="1772"/>
      <c r="L52" s="1780"/>
    </row>
    <row r="53" spans="1:12" s="1766" customFormat="1" x14ac:dyDescent="0.2">
      <c r="A53" s="1765"/>
      <c r="B53" s="1785"/>
      <c r="C53" s="1786"/>
      <c r="F53" s="1787">
        <v>3</v>
      </c>
      <c r="G53" s="1788">
        <v>10.98</v>
      </c>
      <c r="H53" s="1771"/>
      <c r="I53" s="1772"/>
      <c r="J53" s="1772"/>
      <c r="L53" s="1780"/>
    </row>
    <row r="54" spans="1:12" s="1766" customFormat="1" x14ac:dyDescent="0.2">
      <c r="A54" s="1765"/>
      <c r="F54" s="1787">
        <v>4</v>
      </c>
      <c r="G54" s="1788">
        <v>8.77</v>
      </c>
      <c r="H54" s="1771"/>
      <c r="I54" s="1772"/>
      <c r="J54" s="1772"/>
      <c r="L54" s="1780"/>
    </row>
    <row r="55" spans="1:12" s="1766" customFormat="1" x14ac:dyDescent="0.2">
      <c r="A55" s="1765"/>
      <c r="F55" s="1787">
        <v>6</v>
      </c>
      <c r="G55" s="1788">
        <v>7.07</v>
      </c>
      <c r="H55" s="1771"/>
      <c r="I55" s="1772"/>
      <c r="J55" s="1772"/>
      <c r="L55" s="1780"/>
    </row>
    <row r="56" spans="1:12" s="1766" customFormat="1" x14ac:dyDescent="0.2">
      <c r="A56" s="1765"/>
      <c r="F56" s="1787">
        <v>8</v>
      </c>
      <c r="G56" s="1788">
        <v>6.15</v>
      </c>
      <c r="H56" s="1771"/>
      <c r="I56" s="1772"/>
      <c r="J56" s="1772"/>
      <c r="L56" s="1780"/>
    </row>
    <row r="57" spans="1:12" s="1766" customFormat="1" x14ac:dyDescent="0.2">
      <c r="A57" s="1765"/>
      <c r="F57" s="1787">
        <v>12</v>
      </c>
      <c r="G57" s="1788">
        <v>4.76</v>
      </c>
      <c r="H57" s="1771"/>
      <c r="I57" s="1772"/>
      <c r="J57" s="1772"/>
      <c r="L57" s="1780"/>
    </row>
    <row r="58" spans="1:12" s="1766" customFormat="1" x14ac:dyDescent="0.2">
      <c r="A58" s="1765"/>
      <c r="F58" s="1787">
        <v>18</v>
      </c>
      <c r="G58" s="1788">
        <v>4.13</v>
      </c>
      <c r="H58" s="1771"/>
      <c r="I58" s="1772"/>
      <c r="J58" s="1772"/>
      <c r="L58" s="1780"/>
    </row>
    <row r="59" spans="1:12" s="1766" customFormat="1" x14ac:dyDescent="0.2">
      <c r="A59" s="1765"/>
      <c r="F59" s="1787">
        <v>24</v>
      </c>
      <c r="G59" s="1788">
        <v>3.52</v>
      </c>
      <c r="H59" s="1771"/>
      <c r="I59" s="1772"/>
      <c r="J59" s="1772"/>
      <c r="L59" s="1780"/>
    </row>
    <row r="60" spans="1:12" s="1766" customFormat="1" x14ac:dyDescent="0.2">
      <c r="A60" s="1765"/>
      <c r="F60" s="1787">
        <v>30</v>
      </c>
      <c r="G60" s="1788">
        <v>3.06</v>
      </c>
      <c r="H60" s="1771"/>
      <c r="I60" s="1772"/>
      <c r="J60" s="1772"/>
      <c r="L60" s="1780"/>
    </row>
    <row r="61" spans="1:12" s="1766" customFormat="1" x14ac:dyDescent="0.2">
      <c r="A61" s="1765"/>
      <c r="F61" s="1787">
        <v>36</v>
      </c>
      <c r="G61" s="1788">
        <v>2.62</v>
      </c>
      <c r="H61" s="1771"/>
      <c r="I61" s="1772"/>
      <c r="J61" s="1772"/>
      <c r="L61" s="1780"/>
    </row>
    <row r="62" spans="1:12" s="1766" customFormat="1" x14ac:dyDescent="0.2">
      <c r="A62" s="1765"/>
      <c r="F62" s="1787">
        <v>45</v>
      </c>
      <c r="G62" s="1788">
        <v>2.33</v>
      </c>
      <c r="H62" s="1771"/>
      <c r="I62" s="1772"/>
      <c r="J62" s="1772"/>
      <c r="L62" s="1780"/>
    </row>
    <row r="63" spans="1:12" s="1766" customFormat="1" x14ac:dyDescent="0.2">
      <c r="A63" s="1765"/>
      <c r="F63" s="1787">
        <v>52.5</v>
      </c>
      <c r="G63" s="1788">
        <v>2.0099999999999998</v>
      </c>
      <c r="H63" s="1771"/>
      <c r="I63" s="1772"/>
      <c r="J63" s="1772"/>
      <c r="L63" s="1780"/>
    </row>
    <row r="64" spans="1:12" s="1766" customFormat="1" x14ac:dyDescent="0.2">
      <c r="A64" s="1765"/>
      <c r="F64" s="1787">
        <v>60</v>
      </c>
      <c r="G64" s="1788">
        <v>1.68</v>
      </c>
      <c r="H64" s="1771"/>
      <c r="I64" s="1772"/>
      <c r="J64" s="1772"/>
      <c r="L64" s="1780"/>
    </row>
    <row r="65" spans="1:13" s="1766" customFormat="1" x14ac:dyDescent="0.2">
      <c r="A65" s="1765"/>
      <c r="F65" s="1787">
        <v>70</v>
      </c>
      <c r="G65" s="1788">
        <v>1.56</v>
      </c>
      <c r="H65" s="1771"/>
      <c r="I65" s="1772"/>
      <c r="J65" s="1772"/>
      <c r="L65" s="1780"/>
    </row>
    <row r="66" spans="1:13" s="1766" customFormat="1" x14ac:dyDescent="0.2">
      <c r="A66" s="1765"/>
      <c r="F66" s="1787">
        <v>80</v>
      </c>
      <c r="G66" s="1788">
        <v>1.22</v>
      </c>
      <c r="H66" s="1771"/>
      <c r="I66" s="1772"/>
      <c r="J66" s="1772"/>
      <c r="L66" s="1780"/>
    </row>
    <row r="67" spans="1:13" s="1766" customFormat="1" x14ac:dyDescent="0.2">
      <c r="A67" s="1765"/>
      <c r="F67" s="1787">
        <v>100</v>
      </c>
      <c r="G67" s="1788">
        <v>1.04</v>
      </c>
      <c r="H67" s="1771"/>
      <c r="I67" s="1772"/>
      <c r="J67" s="1772"/>
      <c r="L67" s="1780"/>
    </row>
    <row r="68" spans="1:13" s="1766" customFormat="1" x14ac:dyDescent="0.2">
      <c r="A68" s="1765"/>
      <c r="F68" s="1787">
        <v>120</v>
      </c>
      <c r="G68" s="1788">
        <v>0.9</v>
      </c>
      <c r="H68" s="1771"/>
      <c r="I68" s="1772"/>
      <c r="J68" s="1772"/>
      <c r="L68" s="1780"/>
    </row>
    <row r="69" spans="1:13" s="1766" customFormat="1" x14ac:dyDescent="0.2">
      <c r="A69" s="1765"/>
      <c r="F69" s="1787">
        <v>140</v>
      </c>
      <c r="G69" s="1788">
        <v>0.8</v>
      </c>
      <c r="H69" s="1771"/>
      <c r="I69" s="1772"/>
      <c r="J69" s="1772"/>
      <c r="L69" s="1780"/>
    </row>
    <row r="70" spans="1:13" s="1766" customFormat="1" x14ac:dyDescent="0.2">
      <c r="A70" s="1765"/>
      <c r="F70" s="1787">
        <v>160</v>
      </c>
      <c r="G70" s="1788">
        <v>0.73</v>
      </c>
      <c r="H70" s="1771"/>
      <c r="I70" s="1772"/>
      <c r="J70" s="1772"/>
      <c r="L70" s="1780"/>
    </row>
    <row r="71" spans="1:13" s="1766" customFormat="1" x14ac:dyDescent="0.2">
      <c r="A71" s="1765"/>
      <c r="F71" s="1787">
        <v>180</v>
      </c>
      <c r="G71" s="1788">
        <v>0.66</v>
      </c>
      <c r="H71" s="1771"/>
      <c r="I71" s="1772"/>
      <c r="J71" s="1772"/>
      <c r="L71" s="1780"/>
    </row>
    <row r="72" spans="1:13" s="1766" customFormat="1" x14ac:dyDescent="0.2">
      <c r="A72" s="1765"/>
      <c r="F72" s="1787">
        <v>200</v>
      </c>
      <c r="G72" s="1788">
        <v>0.61</v>
      </c>
      <c r="H72" s="1771"/>
      <c r="I72" s="1772"/>
      <c r="J72" s="1772"/>
      <c r="L72" s="1780"/>
    </row>
    <row r="73" spans="1:13" s="1766" customFormat="1" x14ac:dyDescent="0.2">
      <c r="A73" s="1765"/>
      <c r="F73" s="1787">
        <v>220</v>
      </c>
      <c r="G73" s="1788">
        <v>0.57999999999999996</v>
      </c>
      <c r="H73" s="1771"/>
      <c r="I73" s="1772"/>
      <c r="J73" s="1772"/>
      <c r="L73" s="1780"/>
    </row>
    <row r="74" spans="1:13" s="1766" customFormat="1" ht="12.75" x14ac:dyDescent="0.2">
      <c r="A74" s="1765"/>
      <c r="M74" s="1789"/>
    </row>
  </sheetData>
  <mergeCells count="11">
    <mergeCell ref="A2:H2"/>
    <mergeCell ref="A3:H3"/>
    <mergeCell ref="A4:H4"/>
    <mergeCell ref="A6:H6"/>
    <mergeCell ref="A26:H26"/>
    <mergeCell ref="B29:H29"/>
    <mergeCell ref="A31:D31"/>
    <mergeCell ref="B34:H34"/>
    <mergeCell ref="B35:H35"/>
    <mergeCell ref="A5:H5"/>
    <mergeCell ref="A27:H27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F1" sqref="F1:G3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1845" t="s">
        <v>671</v>
      </c>
      <c r="B5" s="1845"/>
      <c r="C5" s="1845"/>
      <c r="D5" s="1845"/>
      <c r="E5" s="1845"/>
      <c r="F5" s="1845"/>
      <c r="G5" s="1845"/>
    </row>
    <row r="6" spans="1:13" s="1259" customFormat="1" ht="21" customHeight="1" x14ac:dyDescent="0.2">
      <c r="A6" s="1846" t="s">
        <v>757</v>
      </c>
      <c r="B6" s="1846"/>
      <c r="C6" s="1846"/>
      <c r="D6" s="1846"/>
      <c r="E6" s="1846"/>
      <c r="F6" s="1846"/>
      <c r="G6" s="1846"/>
      <c r="H6" s="1517"/>
    </row>
    <row r="7" spans="1:13" s="1259" customFormat="1" ht="20.25" customHeight="1" x14ac:dyDescent="0.2">
      <c r="A7" s="1846" t="s">
        <v>760</v>
      </c>
      <c r="B7" s="1846"/>
      <c r="C7" s="1846"/>
      <c r="D7" s="1846"/>
      <c r="E7" s="1846"/>
      <c r="F7" s="1846"/>
      <c r="G7" s="1846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8" t="s">
        <v>19</v>
      </c>
      <c r="B9" s="1848" t="s">
        <v>50</v>
      </c>
      <c r="C9" s="1848" t="s">
        <v>306</v>
      </c>
      <c r="D9" s="1848" t="s">
        <v>543</v>
      </c>
      <c r="E9" s="1850" t="s">
        <v>544</v>
      </c>
      <c r="F9" s="1850"/>
      <c r="G9" s="1851" t="s">
        <v>545</v>
      </c>
      <c r="H9" s="1844"/>
      <c r="I9" s="1844"/>
      <c r="J9" s="1844"/>
      <c r="K9" s="1844"/>
      <c r="L9" s="1797"/>
      <c r="M9" s="1797"/>
    </row>
    <row r="10" spans="1:13" s="1262" customFormat="1" ht="24" x14ac:dyDescent="0.2">
      <c r="A10" s="1849"/>
      <c r="B10" s="1849"/>
      <c r="C10" s="1849"/>
      <c r="D10" s="1849"/>
      <c r="E10" s="1425" t="s">
        <v>306</v>
      </c>
      <c r="F10" s="1425" t="s">
        <v>546</v>
      </c>
      <c r="G10" s="1852"/>
      <c r="H10" s="1844"/>
      <c r="I10" s="1844"/>
      <c r="J10" s="1844"/>
      <c r="K10" s="1844"/>
      <c r="L10" s="1797"/>
      <c r="M10" s="1797"/>
    </row>
    <row r="11" spans="1:13" x14ac:dyDescent="0.2">
      <c r="A11" s="1263"/>
      <c r="B11" s="1263" t="s">
        <v>52</v>
      </c>
      <c r="C11" s="1263"/>
      <c r="D11" s="1263"/>
      <c r="E11" s="1264"/>
      <c r="F11" s="1265"/>
      <c r="G11" s="1790"/>
      <c r="H11" s="1798"/>
      <c r="I11" s="1798"/>
      <c r="J11" s="1798"/>
      <c r="K11" s="1798"/>
      <c r="L11" s="1798"/>
      <c r="M11" s="1798"/>
    </row>
    <row r="12" spans="1:13" ht="38.25" x14ac:dyDescent="0.2">
      <c r="A12" s="1266">
        <v>1</v>
      </c>
      <c r="B12" s="1267" t="s">
        <v>538</v>
      </c>
      <c r="C12" s="1266" t="s">
        <v>648</v>
      </c>
      <c r="D12" s="1299">
        <f>экол!G17</f>
        <v>5786.7999999999993</v>
      </c>
      <c r="E12" s="1465" t="s">
        <v>691</v>
      </c>
      <c r="F12" s="1268">
        <v>3.93</v>
      </c>
      <c r="G12" s="1791">
        <f>ROUND(D12*F12,2)</f>
        <v>22742.12</v>
      </c>
      <c r="H12" s="1799"/>
      <c r="I12" s="1799"/>
      <c r="J12" s="1799"/>
      <c r="K12" s="1800"/>
      <c r="L12" s="1801"/>
      <c r="M12" s="1798"/>
    </row>
    <row r="13" spans="1:13" ht="38.25" x14ac:dyDescent="0.2">
      <c r="A13" s="1266"/>
      <c r="B13" s="1267" t="s">
        <v>683</v>
      </c>
      <c r="C13" s="1266" t="s">
        <v>684</v>
      </c>
      <c r="D13" s="1299">
        <f>Геология!G20</f>
        <v>10205.099999999999</v>
      </c>
      <c r="E13" s="1465" t="s">
        <v>691</v>
      </c>
      <c r="F13" s="1268">
        <v>3.93</v>
      </c>
      <c r="G13" s="1791">
        <f t="shared" ref="G13:G14" si="0">ROUND(D13*F13,2)</f>
        <v>40106.04</v>
      </c>
      <c r="H13" s="1799"/>
      <c r="I13" s="1799"/>
      <c r="J13" s="1799"/>
      <c r="K13" s="1800"/>
      <c r="L13" s="1801"/>
      <c r="M13" s="1798"/>
    </row>
    <row r="14" spans="1:13" ht="38.25" x14ac:dyDescent="0.2">
      <c r="A14" s="1266"/>
      <c r="B14" s="1267" t="s">
        <v>686</v>
      </c>
      <c r="C14" s="1266" t="s">
        <v>684</v>
      </c>
      <c r="D14" s="1299">
        <f>геодезия!G21</f>
        <v>3479.8999999999996</v>
      </c>
      <c r="E14" s="1465" t="s">
        <v>691</v>
      </c>
      <c r="F14" s="1268">
        <v>3.93</v>
      </c>
      <c r="G14" s="1791">
        <f t="shared" si="0"/>
        <v>13676.01</v>
      </c>
      <c r="H14" s="1799"/>
      <c r="I14" s="1799"/>
      <c r="J14" s="1799"/>
      <c r="K14" s="1800"/>
      <c r="L14" s="1801"/>
      <c r="M14" s="1798"/>
    </row>
    <row r="15" spans="1:13" s="1602" customFormat="1" ht="38.25" hidden="1" x14ac:dyDescent="0.2">
      <c r="A15" s="1597">
        <v>2</v>
      </c>
      <c r="B15" s="1598" t="s">
        <v>539</v>
      </c>
      <c r="C15" s="1597" t="s">
        <v>285</v>
      </c>
      <c r="D15" s="1599">
        <f>обслед!G96*0</f>
        <v>0</v>
      </c>
      <c r="E15" s="1600" t="s">
        <v>692</v>
      </c>
      <c r="F15" s="1601">
        <v>3.5859999999999999</v>
      </c>
      <c r="G15" s="1792">
        <f t="shared" ref="G15:G18" si="1">ROUND(D15*F15,2)</f>
        <v>0</v>
      </c>
      <c r="H15" s="1802"/>
      <c r="I15" s="1802"/>
      <c r="J15" s="1802"/>
      <c r="K15" s="1802"/>
      <c r="L15" s="1803"/>
      <c r="M15" s="1804"/>
    </row>
    <row r="16" spans="1:13" s="1602" customFormat="1" ht="47.25" hidden="1" x14ac:dyDescent="0.2">
      <c r="A16" s="1597">
        <v>3</v>
      </c>
      <c r="B16" s="1598" t="s">
        <v>540</v>
      </c>
      <c r="C16" s="1597" t="s">
        <v>649</v>
      </c>
      <c r="D16" s="1599">
        <f>шурф!K51*0</f>
        <v>0</v>
      </c>
      <c r="E16" s="1465" t="s">
        <v>691</v>
      </c>
      <c r="F16" s="1649">
        <v>44.5</v>
      </c>
      <c r="G16" s="1792">
        <f t="shared" si="1"/>
        <v>0</v>
      </c>
      <c r="H16" s="1802"/>
      <c r="I16" s="1802"/>
      <c r="J16" s="1802"/>
      <c r="K16" s="1802"/>
      <c r="L16" s="1803"/>
      <c r="M16" s="1804"/>
    </row>
    <row r="17" spans="1:14" s="1602" customFormat="1" ht="38.25" hidden="1" x14ac:dyDescent="0.2">
      <c r="A17" s="1597">
        <v>4</v>
      </c>
      <c r="B17" s="1598" t="s">
        <v>541</v>
      </c>
      <c r="C17" s="1597" t="s">
        <v>650</v>
      </c>
      <c r="D17" s="1599">
        <f>'оцен влиян'!G20*0</f>
        <v>0</v>
      </c>
      <c r="E17" s="1600" t="s">
        <v>692</v>
      </c>
      <c r="F17" s="1601">
        <v>3.5859999999999999</v>
      </c>
      <c r="G17" s="1792">
        <f t="shared" si="1"/>
        <v>0</v>
      </c>
      <c r="H17" s="1805"/>
      <c r="I17" s="1802"/>
      <c r="J17" s="1802"/>
      <c r="K17" s="1802"/>
      <c r="L17" s="1803"/>
      <c r="M17" s="1804"/>
    </row>
    <row r="18" spans="1:14" s="1602" customFormat="1" ht="38.25" hidden="1" x14ac:dyDescent="0.2">
      <c r="A18" s="1597">
        <v>5</v>
      </c>
      <c r="B18" s="1598" t="s">
        <v>542</v>
      </c>
      <c r="C18" s="1597" t="s">
        <v>651</v>
      </c>
      <c r="D18" s="1599">
        <f>мониторинг!H70*0</f>
        <v>0</v>
      </c>
      <c r="E18" s="1600" t="s">
        <v>692</v>
      </c>
      <c r="F18" s="1601">
        <v>3.5859999999999999</v>
      </c>
      <c r="G18" s="1792">
        <f t="shared" si="1"/>
        <v>0</v>
      </c>
      <c r="H18" s="1802"/>
      <c r="I18" s="1802"/>
      <c r="J18" s="1802"/>
      <c r="K18" s="1802"/>
      <c r="L18" s="1803"/>
      <c r="M18" s="1804"/>
    </row>
    <row r="19" spans="1:14" x14ac:dyDescent="0.2">
      <c r="A19" s="1271"/>
      <c r="B19" s="1272" t="s">
        <v>53</v>
      </c>
      <c r="C19" s="1272"/>
      <c r="D19" s="1300">
        <f>SUM(D12:D18)</f>
        <v>19471.799999999996</v>
      </c>
      <c r="E19" s="1266"/>
      <c r="F19" s="1265"/>
      <c r="G19" s="1793">
        <f>SUM(G12:G18)</f>
        <v>76524.17</v>
      </c>
      <c r="H19" s="1798"/>
      <c r="I19" s="1798"/>
      <c r="J19" s="1798"/>
      <c r="K19" s="1798"/>
      <c r="L19" s="1798"/>
      <c r="M19" s="1798"/>
    </row>
    <row r="20" spans="1:14" x14ac:dyDescent="0.2">
      <c r="A20" s="1266"/>
      <c r="B20" s="1263" t="s">
        <v>54</v>
      </c>
      <c r="C20" s="1266"/>
      <c r="D20" s="1301"/>
      <c r="E20" s="1266"/>
      <c r="F20" s="1269"/>
      <c r="G20" s="1794"/>
      <c r="H20" s="1797"/>
      <c r="I20" s="1797"/>
      <c r="J20" s="1797"/>
      <c r="K20" s="1798"/>
      <c r="L20" s="1798"/>
      <c r="M20" s="1798"/>
    </row>
    <row r="21" spans="1:14" ht="42.75" customHeight="1" x14ac:dyDescent="0.2">
      <c r="A21" s="1266">
        <v>1</v>
      </c>
      <c r="B21" s="1267" t="s">
        <v>55</v>
      </c>
      <c r="C21" s="1266" t="s">
        <v>653</v>
      </c>
      <c r="D21" s="1299">
        <f>Т.с.!H89</f>
        <v>331466.88</v>
      </c>
      <c r="E21" s="1827" t="s">
        <v>692</v>
      </c>
      <c r="F21" s="1828">
        <v>3.5859999999999999</v>
      </c>
      <c r="G21" s="1791">
        <f>ROUND(D21*F21,2)</f>
        <v>1188640.23</v>
      </c>
      <c r="H21" s="1806"/>
      <c r="I21" s="1807"/>
      <c r="J21" s="1806"/>
      <c r="K21" s="1806"/>
      <c r="L21" s="1801"/>
      <c r="M21" s="1798"/>
    </row>
    <row r="22" spans="1:14" ht="38.25" x14ac:dyDescent="0.2">
      <c r="A22" s="1266">
        <v>2</v>
      </c>
      <c r="B22" s="1267" t="s">
        <v>639</v>
      </c>
      <c r="C22" s="1266" t="s">
        <v>145</v>
      </c>
      <c r="D22" s="1299">
        <f>'ООС+ТР'!H74</f>
        <v>72995.199999999997</v>
      </c>
      <c r="E22" s="1827" t="s">
        <v>692</v>
      </c>
      <c r="F22" s="1828">
        <v>3.5859999999999999</v>
      </c>
      <c r="G22" s="1791">
        <f t="shared" ref="G22:G27" si="2">ROUND(D22*F22,2)</f>
        <v>261760.79</v>
      </c>
      <c r="H22" s="1798"/>
      <c r="I22" s="1798"/>
      <c r="J22" s="1798"/>
      <c r="K22" s="1808"/>
      <c r="L22" s="1798"/>
      <c r="M22" s="1798"/>
    </row>
    <row r="23" spans="1:14" s="1602" customFormat="1" ht="38.25" hidden="1" x14ac:dyDescent="0.2">
      <c r="A23" s="1597">
        <v>3</v>
      </c>
      <c r="B23" s="1598" t="s">
        <v>629</v>
      </c>
      <c r="C23" s="1597" t="s">
        <v>145</v>
      </c>
      <c r="D23" s="1599">
        <f>'ТР '!H45*0</f>
        <v>0</v>
      </c>
      <c r="E23" s="1827" t="s">
        <v>556</v>
      </c>
      <c r="F23" s="1828">
        <v>3.5049999999999999</v>
      </c>
      <c r="G23" s="1792">
        <f t="shared" ref="G23" si="3">ROUND(D23*F23,2)</f>
        <v>0</v>
      </c>
      <c r="H23" s="1809"/>
      <c r="I23" s="1804"/>
      <c r="J23" s="1804"/>
      <c r="K23" s="1804"/>
      <c r="L23" s="1804"/>
      <c r="M23" s="1804"/>
    </row>
    <row r="24" spans="1:14" ht="38.25" hidden="1" x14ac:dyDescent="0.2">
      <c r="A24" s="1266">
        <v>4</v>
      </c>
      <c r="B24" s="1273" t="s">
        <v>61</v>
      </c>
      <c r="C24" s="1266" t="s">
        <v>146</v>
      </c>
      <c r="D24" s="1299">
        <f>ПОЖ!H17</f>
        <v>4500</v>
      </c>
      <c r="E24" s="1827" t="s">
        <v>692</v>
      </c>
      <c r="F24" s="1828">
        <v>3.5859999999999999</v>
      </c>
      <c r="G24" s="1791">
        <f t="shared" si="2"/>
        <v>16137</v>
      </c>
      <c r="H24" s="1798"/>
      <c r="I24" s="1798"/>
      <c r="J24" s="1798"/>
      <c r="K24" s="1808"/>
      <c r="L24" s="1798"/>
      <c r="M24" s="1798"/>
    </row>
    <row r="25" spans="1:14" ht="38.25" x14ac:dyDescent="0.2">
      <c r="A25" s="1266">
        <v>5</v>
      </c>
      <c r="B25" s="1274" t="s">
        <v>111</v>
      </c>
      <c r="C25" s="1266" t="s">
        <v>148</v>
      </c>
      <c r="D25" s="1299">
        <f>СОГЛ!G17</f>
        <v>47000.27</v>
      </c>
      <c r="E25" s="1827" t="s">
        <v>692</v>
      </c>
      <c r="F25" s="1828">
        <v>3.5859999999999999</v>
      </c>
      <c r="G25" s="1791">
        <f t="shared" si="2"/>
        <v>168542.97</v>
      </c>
      <c r="H25" s="1798"/>
      <c r="I25" s="1798"/>
      <c r="J25" s="1798"/>
      <c r="K25" s="1798"/>
      <c r="L25" s="1798"/>
      <c r="M25" s="1798"/>
    </row>
    <row r="26" spans="1:14" ht="38.25" x14ac:dyDescent="0.2">
      <c r="A26" s="1266">
        <v>6</v>
      </c>
      <c r="B26" s="1274" t="s">
        <v>122</v>
      </c>
      <c r="C26" s="1266" t="s">
        <v>147</v>
      </c>
      <c r="D26" s="1299">
        <f>РДП!H24</f>
        <v>67849.2</v>
      </c>
      <c r="E26" s="1465" t="s">
        <v>691</v>
      </c>
      <c r="F26" s="1271">
        <v>3.92</v>
      </c>
      <c r="G26" s="1791">
        <f>ROUND(D26*F26,2)</f>
        <v>265968.86</v>
      </c>
      <c r="H26" s="1806"/>
      <c r="I26" s="1807"/>
      <c r="J26" s="1806"/>
      <c r="K26" s="1798"/>
      <c r="L26" s="1798"/>
      <c r="M26" s="1798"/>
    </row>
    <row r="27" spans="1:14" ht="38.25" hidden="1" x14ac:dyDescent="0.2">
      <c r="A27" s="1266">
        <v>7</v>
      </c>
      <c r="B27" s="1274" t="s">
        <v>286</v>
      </c>
      <c r="C27" s="1266" t="s">
        <v>652</v>
      </c>
      <c r="D27" s="1299">
        <f>'Перекладка '!H86</f>
        <v>0</v>
      </c>
      <c r="E27" s="1827" t="s">
        <v>692</v>
      </c>
      <c r="F27" s="1828">
        <v>3.5859999999999999</v>
      </c>
      <c r="G27" s="1791">
        <f t="shared" si="2"/>
        <v>0</v>
      </c>
      <c r="H27" s="1798"/>
      <c r="I27" s="1798"/>
      <c r="J27" s="1798"/>
      <c r="K27" s="1810"/>
      <c r="L27" s="1798"/>
      <c r="M27" s="1798"/>
    </row>
    <row r="28" spans="1:14" ht="63" hidden="1" x14ac:dyDescent="0.2">
      <c r="A28" s="1266">
        <v>8</v>
      </c>
      <c r="B28" s="1521" t="s">
        <v>659</v>
      </c>
      <c r="C28" s="1266" t="s">
        <v>664</v>
      </c>
      <c r="D28" s="1299">
        <f>'размножение проекта'!E40</f>
        <v>0</v>
      </c>
      <c r="E28" s="1465" t="s">
        <v>556</v>
      </c>
      <c r="F28" s="1270">
        <v>3.5049999999999999</v>
      </c>
      <c r="G28" s="1791">
        <f>ROUND(D28*F28,2)</f>
        <v>0</v>
      </c>
      <c r="H28" s="1798"/>
      <c r="I28" s="1798"/>
      <c r="J28" s="1798"/>
      <c r="K28" s="1798"/>
      <c r="L28" s="1798"/>
      <c r="M28" s="1798"/>
    </row>
    <row r="29" spans="1:14" ht="19.5" customHeight="1" x14ac:dyDescent="0.2">
      <c r="A29" s="1266"/>
      <c r="B29" s="1522" t="s">
        <v>75</v>
      </c>
      <c r="C29" s="1266"/>
      <c r="D29" s="1301">
        <f>SUM(D21:D28)</f>
        <v>523811.55000000005</v>
      </c>
      <c r="E29" s="1275"/>
      <c r="F29" s="1265"/>
      <c r="G29" s="1793">
        <f>SUM(G21:G28)</f>
        <v>1901049.85</v>
      </c>
      <c r="H29" s="1811"/>
      <c r="I29" s="1812"/>
      <c r="J29" s="1813"/>
      <c r="K29" s="1814"/>
      <c r="L29" s="1798"/>
      <c r="M29" s="1815"/>
      <c r="N29" s="1701" t="s">
        <v>713</v>
      </c>
    </row>
    <row r="30" spans="1:14" ht="42.75" customHeight="1" x14ac:dyDescent="0.2">
      <c r="A30" s="1266">
        <v>1</v>
      </c>
      <c r="B30" s="1523" t="s">
        <v>708</v>
      </c>
      <c r="C30" s="1266" t="s">
        <v>684</v>
      </c>
      <c r="D30" s="1299">
        <f>АН!F18</f>
        <v>10564.26</v>
      </c>
      <c r="E30" s="1827" t="s">
        <v>692</v>
      </c>
      <c r="F30" s="1828">
        <v>3.5859999999999999</v>
      </c>
      <c r="G30" s="1795">
        <f>D30*F30</f>
        <v>37883.43636</v>
      </c>
      <c r="H30" s="1816"/>
      <c r="I30" s="1812"/>
      <c r="J30" s="1813"/>
      <c r="K30" s="1814"/>
      <c r="L30" s="1798"/>
      <c r="M30" s="1798"/>
    </row>
    <row r="31" spans="1:14" ht="42.75" customHeight="1" x14ac:dyDescent="0.2">
      <c r="A31" s="1266">
        <v>2</v>
      </c>
      <c r="B31" s="1523" t="s">
        <v>718</v>
      </c>
      <c r="C31" s="1266"/>
      <c r="D31" s="1299">
        <f>'Расчет эскертизы'!D37</f>
        <v>78320.759999999995</v>
      </c>
      <c r="E31" s="1827" t="s">
        <v>752</v>
      </c>
      <c r="F31" s="1828">
        <v>3.73</v>
      </c>
      <c r="G31" s="1795">
        <f>D31*F31</f>
        <v>292136.43479999999</v>
      </c>
      <c r="H31" s="1798"/>
      <c r="I31" s="1798"/>
      <c r="J31" s="1798"/>
      <c r="K31" s="1798"/>
      <c r="L31" s="1798"/>
      <c r="M31" s="1798"/>
    </row>
    <row r="32" spans="1:14" s="1279" customFormat="1" ht="19.5" customHeight="1" x14ac:dyDescent="0.2">
      <c r="A32" s="1276"/>
      <c r="B32" s="1853" t="s">
        <v>547</v>
      </c>
      <c r="C32" s="1853"/>
      <c r="D32" s="1302">
        <f>ROUND(D19+D29+D30+D31,2)</f>
        <v>632168.37</v>
      </c>
      <c r="E32" s="1277"/>
      <c r="F32" s="1278"/>
      <c r="G32" s="1796">
        <f>G30+G29+G19+G31</f>
        <v>2307593.8911600001</v>
      </c>
      <c r="H32" s="1816"/>
      <c r="I32" s="1816"/>
      <c r="J32" s="1816"/>
      <c r="K32" s="1816"/>
      <c r="L32" s="1816"/>
      <c r="M32" s="1816"/>
    </row>
    <row r="33" spans="1:13" s="69" customFormat="1" x14ac:dyDescent="0.2">
      <c r="D33" s="71"/>
      <c r="E33" s="957"/>
      <c r="G33" s="77"/>
      <c r="H33" s="337"/>
      <c r="I33" s="1812"/>
      <c r="J33" s="1813"/>
      <c r="K33" s="1814"/>
    </row>
    <row r="34" spans="1:13" s="1351" customFormat="1" ht="16.5" x14ac:dyDescent="0.2">
      <c r="A34" s="1347"/>
      <c r="B34" s="1847" t="s">
        <v>66</v>
      </c>
      <c r="C34" s="1847"/>
      <c r="D34" s="1348"/>
      <c r="E34" s="1349"/>
      <c r="F34" s="1349"/>
      <c r="G34" s="1350">
        <f>G32</f>
        <v>2307593.8911600001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7" t="s">
        <v>1</v>
      </c>
      <c r="C35" s="1847"/>
      <c r="D35" s="1348"/>
      <c r="E35" s="1349"/>
      <c r="F35" s="1349"/>
      <c r="G35" s="1350">
        <f>ROUND(G34*0.18,2)</f>
        <v>415366.9</v>
      </c>
      <c r="H35" s="1349"/>
      <c r="I35" s="1817"/>
      <c r="J35" s="1818"/>
      <c r="K35" s="1652"/>
      <c r="L35" s="1652"/>
      <c r="M35" s="1349"/>
    </row>
    <row r="36" spans="1:13" s="1351" customFormat="1" ht="16.5" x14ac:dyDescent="0.2">
      <c r="A36" s="1347"/>
      <c r="B36" s="1847" t="s">
        <v>67</v>
      </c>
      <c r="C36" s="1847"/>
      <c r="D36" s="1348"/>
      <c r="E36" s="1349"/>
      <c r="F36" s="1349"/>
      <c r="G36" s="1350">
        <f>SUM(G34:G35)</f>
        <v>2722960.79116</v>
      </c>
      <c r="H36" s="1349"/>
      <c r="I36" s="1817"/>
      <c r="J36" s="1817"/>
      <c r="K36" s="1652"/>
      <c r="L36" s="1652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9"/>
      <c r="I37" s="1817"/>
      <c r="J37" s="1817"/>
      <c r="K37" s="1820"/>
      <c r="L37" s="1652"/>
      <c r="M37" s="1819"/>
    </row>
    <row r="38" spans="1:13" s="127" customFormat="1" x14ac:dyDescent="0.2">
      <c r="A38" s="1259"/>
      <c r="B38" s="491" t="s">
        <v>555</v>
      </c>
      <c r="C38" s="1259"/>
      <c r="D38" s="1297"/>
      <c r="E38" s="1284"/>
      <c r="G38" s="1298"/>
      <c r="I38" s="1817"/>
      <c r="J38" s="1817"/>
      <c r="K38" s="1652"/>
      <c r="L38" s="1652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1"/>
      <c r="I39" s="1817"/>
      <c r="J39" s="1817"/>
      <c r="K39" s="1652"/>
      <c r="L39" s="1652"/>
      <c r="M39" s="1821"/>
    </row>
    <row r="40" spans="1:13" s="1259" customFormat="1" x14ac:dyDescent="0.2">
      <c r="A40" s="127"/>
      <c r="B40" s="1120"/>
      <c r="C40" s="127"/>
      <c r="D40" s="1120"/>
      <c r="E40" s="1287"/>
      <c r="I40" s="1817"/>
      <c r="J40" s="1817"/>
      <c r="K40" s="1652"/>
      <c r="L40" s="1652"/>
    </row>
    <row r="41" spans="1:13" s="1259" customFormat="1" x14ac:dyDescent="0.2">
      <c r="A41" s="127"/>
      <c r="B41" s="1288"/>
      <c r="C41" s="1288"/>
      <c r="D41" s="1289"/>
      <c r="E41" s="1290"/>
      <c r="I41" s="1817"/>
      <c r="J41" s="1817"/>
      <c r="K41" s="1652"/>
      <c r="L41" s="1652"/>
    </row>
    <row r="42" spans="1:13" s="1259" customFormat="1" x14ac:dyDescent="0.2">
      <c r="A42" s="127"/>
      <c r="B42" s="1288"/>
      <c r="C42" s="1288"/>
      <c r="D42" s="1291"/>
      <c r="E42" s="1290"/>
      <c r="I42" s="1817"/>
      <c r="J42" s="1817"/>
      <c r="K42" s="1652"/>
      <c r="L42" s="1652"/>
    </row>
    <row r="43" spans="1:13" s="1259" customFormat="1" x14ac:dyDescent="0.2">
      <c r="A43" s="127"/>
      <c r="B43" s="1288"/>
      <c r="C43" s="1288"/>
      <c r="D43" s="1291"/>
      <c r="E43" s="1292"/>
      <c r="I43" s="1817"/>
      <c r="J43" s="1817"/>
      <c r="K43" s="1652"/>
      <c r="L43" s="1652"/>
    </row>
    <row r="44" spans="1:13" s="1259" customFormat="1" x14ac:dyDescent="0.2">
      <c r="A44" s="127"/>
      <c r="B44" s="1288"/>
      <c r="C44" s="1288"/>
      <c r="D44" s="1291"/>
      <c r="E44" s="1290"/>
      <c r="I44" s="1817"/>
      <c r="J44" s="1817"/>
      <c r="K44" s="1652"/>
      <c r="L44" s="1652"/>
    </row>
    <row r="45" spans="1:13" x14ac:dyDescent="0.2">
      <c r="A45" s="1259"/>
      <c r="B45" s="1280"/>
      <c r="C45" s="1281"/>
      <c r="D45" s="1282"/>
      <c r="E45" s="1258"/>
      <c r="H45" s="1798"/>
      <c r="I45" s="1817"/>
      <c r="J45" s="1817"/>
      <c r="K45" s="1652"/>
      <c r="L45" s="1652"/>
      <c r="M45" s="1798"/>
    </row>
    <row r="46" spans="1:13" x14ac:dyDescent="0.2">
      <c r="A46" s="1259"/>
      <c r="B46" s="1280"/>
      <c r="C46" s="1281"/>
      <c r="D46" s="1282"/>
      <c r="E46" s="1258"/>
      <c r="H46" s="1798"/>
      <c r="I46" s="1817"/>
      <c r="J46" s="1817"/>
      <c r="K46" s="1652"/>
      <c r="L46" s="1652"/>
      <c r="M46" s="1798"/>
    </row>
    <row r="47" spans="1:13" x14ac:dyDescent="0.2">
      <c r="A47" s="1259"/>
      <c r="B47" s="1259"/>
      <c r="C47" s="1293"/>
      <c r="D47" s="1294"/>
      <c r="E47" s="1258"/>
      <c r="H47" s="1798"/>
      <c r="I47" s="1817"/>
      <c r="J47" s="1817"/>
      <c r="K47" s="1652"/>
      <c r="L47" s="1652"/>
      <c r="M47" s="1798"/>
    </row>
    <row r="48" spans="1:13" x14ac:dyDescent="0.2">
      <c r="A48" s="1295"/>
      <c r="D48" s="1296"/>
      <c r="H48" s="1798"/>
      <c r="I48" s="1817"/>
      <c r="J48" s="1817"/>
      <c r="K48" s="1652"/>
      <c r="L48" s="1652"/>
      <c r="M48" s="1798"/>
    </row>
    <row r="49" spans="8:13" x14ac:dyDescent="0.2">
      <c r="H49" s="1798"/>
      <c r="I49" s="1817"/>
      <c r="J49" s="1817"/>
      <c r="K49" s="1652"/>
      <c r="L49" s="1652"/>
      <c r="M49" s="1798"/>
    </row>
    <row r="50" spans="8:13" x14ac:dyDescent="0.2">
      <c r="H50" s="1798"/>
      <c r="I50" s="1817"/>
      <c r="J50" s="1817"/>
      <c r="K50" s="1652"/>
      <c r="L50" s="1652"/>
      <c r="M50" s="1798"/>
    </row>
    <row r="51" spans="8:13" x14ac:dyDescent="0.2">
      <c r="H51" s="1798"/>
      <c r="I51" s="1817"/>
      <c r="J51" s="1817"/>
      <c r="K51" s="1652"/>
      <c r="L51" s="1652"/>
      <c r="M51" s="1798"/>
    </row>
    <row r="52" spans="8:13" x14ac:dyDescent="0.2">
      <c r="H52" s="1798"/>
      <c r="I52" s="1817"/>
      <c r="J52" s="1817"/>
      <c r="K52" s="1652"/>
      <c r="L52" s="1652"/>
      <c r="M52" s="1798"/>
    </row>
    <row r="53" spans="8:13" x14ac:dyDescent="0.2">
      <c r="H53" s="1798"/>
      <c r="I53" s="1817"/>
      <c r="J53" s="1817"/>
      <c r="K53" s="1652"/>
      <c r="L53" s="1652"/>
      <c r="M53" s="1798"/>
    </row>
    <row r="54" spans="8:13" x14ac:dyDescent="0.2">
      <c r="H54" s="1798"/>
      <c r="I54" s="1817"/>
      <c r="J54" s="1817"/>
      <c r="K54" s="1652"/>
      <c r="L54" s="1652"/>
      <c r="M54" s="1798"/>
    </row>
    <row r="55" spans="8:13" x14ac:dyDescent="0.2">
      <c r="H55" s="1798"/>
      <c r="I55" s="1817"/>
      <c r="J55" s="1817"/>
      <c r="K55" s="1652"/>
      <c r="L55" s="1652"/>
      <c r="M55" s="1798"/>
    </row>
    <row r="56" spans="8:13" x14ac:dyDescent="0.2">
      <c r="H56" s="1798"/>
      <c r="I56" s="1817"/>
      <c r="J56" s="1817"/>
      <c r="K56" s="1652"/>
      <c r="L56" s="1652"/>
      <c r="M56" s="1798"/>
    </row>
    <row r="57" spans="8:13" x14ac:dyDescent="0.2">
      <c r="H57" s="1798"/>
      <c r="I57" s="1817"/>
      <c r="J57" s="1817"/>
      <c r="K57" s="1652"/>
      <c r="L57" s="1652"/>
      <c r="M57" s="1798"/>
    </row>
    <row r="58" spans="8:13" x14ac:dyDescent="0.2">
      <c r="H58" s="1798"/>
      <c r="I58" s="1817"/>
      <c r="J58" s="1817"/>
      <c r="K58" s="1652"/>
      <c r="L58" s="1652"/>
      <c r="M58" s="1798"/>
    </row>
    <row r="59" spans="8:13" x14ac:dyDescent="0.2">
      <c r="H59" s="1798"/>
      <c r="I59" s="1817"/>
      <c r="J59" s="1817"/>
      <c r="K59" s="1652"/>
      <c r="L59" s="1652"/>
      <c r="M59" s="1798"/>
    </row>
    <row r="60" spans="8:13" x14ac:dyDescent="0.2">
      <c r="H60" s="1798"/>
      <c r="I60" s="1817"/>
      <c r="J60" s="1817"/>
      <c r="K60" s="1652"/>
      <c r="L60" s="1652"/>
      <c r="M60" s="1798"/>
    </row>
    <row r="61" spans="8:13" x14ac:dyDescent="0.2">
      <c r="H61" s="1798"/>
      <c r="I61" s="1817"/>
      <c r="J61" s="1817"/>
      <c r="K61" s="1652"/>
      <c r="L61" s="1652"/>
      <c r="M61" s="1798"/>
    </row>
    <row r="62" spans="8:13" x14ac:dyDescent="0.2">
      <c r="H62" s="1798"/>
      <c r="I62" s="1817"/>
      <c r="J62" s="1817"/>
      <c r="K62" s="1652"/>
      <c r="L62" s="1652"/>
      <c r="M62" s="1798"/>
    </row>
    <row r="63" spans="8:13" x14ac:dyDescent="0.2">
      <c r="H63" s="1798"/>
      <c r="I63" s="1817"/>
      <c r="J63" s="1817"/>
      <c r="K63" s="1652"/>
      <c r="L63" s="1652"/>
      <c r="M63" s="1798"/>
    </row>
    <row r="64" spans="8:13" x14ac:dyDescent="0.2">
      <c r="H64" s="1798"/>
      <c r="I64" s="1817"/>
      <c r="J64" s="1817"/>
      <c r="K64" s="1652"/>
      <c r="L64" s="1652"/>
      <c r="M64" s="1798"/>
    </row>
  </sheetData>
  <mergeCells count="14">
    <mergeCell ref="B35:C35"/>
    <mergeCell ref="D9:D10"/>
    <mergeCell ref="E9:F9"/>
    <mergeCell ref="G9:G10"/>
    <mergeCell ref="B36:C36"/>
    <mergeCell ref="B9:B10"/>
    <mergeCell ref="C9:C10"/>
    <mergeCell ref="B32:C32"/>
    <mergeCell ref="H9:K10"/>
    <mergeCell ref="A5:G5"/>
    <mergeCell ref="A7:G7"/>
    <mergeCell ref="A6:G6"/>
    <mergeCell ref="B34:C34"/>
    <mergeCell ref="A9:A1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5"/>
      <c r="I1" s="1935"/>
      <c r="K1" s="1935"/>
      <c r="L1" s="1935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5"/>
      <c r="L2" s="1935"/>
      <c r="M2" s="1935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5"/>
      <c r="I4" s="1935"/>
      <c r="K4" s="1935"/>
      <c r="L4" s="1935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4" t="s">
        <v>667</v>
      </c>
      <c r="B7" s="2294"/>
      <c r="C7" s="2294"/>
      <c r="D7" s="2294"/>
      <c r="E7" s="2294"/>
      <c r="F7" s="2294"/>
      <c r="G7" s="2294"/>
      <c r="H7" s="2294"/>
      <c r="I7" s="2294"/>
      <c r="J7" s="2294"/>
      <c r="K7" s="2294"/>
    </row>
    <row r="8" spans="1:13" s="431" customFormat="1" ht="56.25" customHeight="1" x14ac:dyDescent="0.2">
      <c r="A8" s="1931" t="str">
        <f>' ССР (нов)'!A6:G6</f>
        <v xml:space="preserve">Перекладка теплового ввода </v>
      </c>
      <c r="B8" s="1932"/>
      <c r="C8" s="1932"/>
      <c r="D8" s="1932"/>
      <c r="E8" s="1932"/>
      <c r="F8" s="1932"/>
      <c r="G8" s="1932"/>
      <c r="H8" s="1932"/>
      <c r="I8" s="1932"/>
      <c r="J8" s="1932"/>
      <c r="K8" s="1932"/>
    </row>
    <row r="9" spans="1:13" s="431" customFormat="1" ht="25.5" customHeight="1" x14ac:dyDescent="0.2">
      <c r="A9" s="1931" t="str">
        <f>' ССР (нов)'!A7:G7</f>
        <v>г. Москва , ул. Гамалеи д.11к.1</v>
      </c>
      <c r="B9" s="1931"/>
      <c r="C9" s="1931"/>
      <c r="D9" s="1931"/>
      <c r="E9" s="1931"/>
      <c r="F9" s="1931"/>
      <c r="G9" s="1931"/>
      <c r="H9" s="1931"/>
      <c r="I9" s="1931"/>
      <c r="J9" s="1931"/>
      <c r="K9" s="1931"/>
    </row>
    <row r="10" spans="1:13" s="403" customFormat="1" ht="27" customHeight="1" x14ac:dyDescent="0.2">
      <c r="A10" s="1931" t="s">
        <v>659</v>
      </c>
      <c r="B10" s="1931"/>
      <c r="C10" s="1931"/>
      <c r="D10" s="1931"/>
      <c r="E10" s="1931"/>
      <c r="F10" s="1931"/>
      <c r="G10" s="1931"/>
      <c r="H10" s="1931"/>
      <c r="I10" s="1931"/>
      <c r="J10" s="1931"/>
      <c r="K10" s="1931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33" t="s">
        <v>187</v>
      </c>
      <c r="B12" s="1933"/>
      <c r="C12" s="1933"/>
      <c r="D12" s="1933"/>
      <c r="E12" s="1933"/>
      <c r="F12" s="1933"/>
      <c r="G12" s="1933"/>
      <c r="H12" s="1933"/>
      <c r="I12" s="1933"/>
      <c r="J12" s="1933"/>
      <c r="K12" s="1933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188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16" t="s">
        <v>189</v>
      </c>
      <c r="C16" s="1916"/>
      <c r="D16" s="1916"/>
      <c r="E16" s="1469" t="s">
        <v>190</v>
      </c>
      <c r="F16" s="1469" t="s">
        <v>191</v>
      </c>
      <c r="G16" s="1469" t="s">
        <v>192</v>
      </c>
      <c r="H16" s="1469" t="s">
        <v>193</v>
      </c>
      <c r="I16" s="1916" t="s">
        <v>194</v>
      </c>
      <c r="J16" s="1916"/>
      <c r="K16" s="1917"/>
    </row>
    <row r="17" spans="1:12" s="428" customFormat="1" ht="16.5" thickBot="1" x14ac:dyDescent="0.25">
      <c r="A17" s="448">
        <v>1</v>
      </c>
      <c r="B17" s="1918">
        <v>2</v>
      </c>
      <c r="C17" s="1918"/>
      <c r="D17" s="1918"/>
      <c r="E17" s="1470">
        <v>3</v>
      </c>
      <c r="F17" s="1470">
        <v>4</v>
      </c>
      <c r="G17" s="1470">
        <v>5</v>
      </c>
      <c r="H17" s="1470">
        <v>6</v>
      </c>
      <c r="I17" s="1918">
        <v>7</v>
      </c>
      <c r="J17" s="1918"/>
      <c r="K17" s="1919"/>
    </row>
    <row r="18" spans="1:12" s="428" customFormat="1" ht="27" customHeight="1" thickTop="1" x14ac:dyDescent="0.2">
      <c r="A18" s="412">
        <v>1</v>
      </c>
      <c r="B18" s="1925" t="s">
        <v>208</v>
      </c>
      <c r="C18" s="1925"/>
      <c r="D18" s="1925"/>
      <c r="E18" s="413">
        <v>1</v>
      </c>
      <c r="F18" s="437"/>
      <c r="G18" s="413">
        <v>1</v>
      </c>
      <c r="H18" s="414">
        <v>1</v>
      </c>
      <c r="I18" s="1922">
        <f>E18/$F$19*G18*H18</f>
        <v>1</v>
      </c>
      <c r="J18" s="1922"/>
      <c r="K18" s="1923"/>
      <c r="L18" s="434"/>
    </row>
    <row r="19" spans="1:12" s="420" customFormat="1" ht="22.5" customHeight="1" thickBot="1" x14ac:dyDescent="0.25">
      <c r="A19" s="415"/>
      <c r="B19" s="1915" t="s">
        <v>85</v>
      </c>
      <c r="C19" s="1915"/>
      <c r="D19" s="1915"/>
      <c r="E19" s="416"/>
      <c r="F19" s="417">
        <v>1</v>
      </c>
      <c r="G19" s="418">
        <f>SUM(G18:G18)</f>
        <v>1</v>
      </c>
      <c r="H19" s="419"/>
      <c r="I19" s="1924" t="str">
        <f>CONCATENATE(I18,"/",G19)</f>
        <v>1/1</v>
      </c>
      <c r="J19" s="1924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197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31</v>
      </c>
      <c r="B23" s="1472" t="s">
        <v>198</v>
      </c>
      <c r="C23" s="410" t="s">
        <v>199</v>
      </c>
      <c r="D23" s="410" t="s">
        <v>200</v>
      </c>
      <c r="E23" s="410" t="s">
        <v>201</v>
      </c>
      <c r="F23" s="410" t="s">
        <v>202</v>
      </c>
      <c r="G23" s="410" t="s">
        <v>203</v>
      </c>
      <c r="H23" s="410" t="s">
        <v>204</v>
      </c>
      <c r="I23" s="410" t="s">
        <v>205</v>
      </c>
      <c r="J23" s="410" t="s">
        <v>206</v>
      </c>
      <c r="K23" s="411" t="s">
        <v>207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5" t="s">
        <v>661</v>
      </c>
      <c r="C27" s="2295"/>
      <c r="D27" s="2295"/>
      <c r="E27" s="2295"/>
      <c r="F27" s="2295"/>
      <c r="G27" s="2295"/>
      <c r="H27" s="2295"/>
      <c r="I27" s="2295"/>
      <c r="J27" s="2295"/>
      <c r="K27" s="2295"/>
    </row>
    <row r="28" spans="1:12" ht="3.75" customHeight="1" thickBot="1" x14ac:dyDescent="0.25"/>
    <row r="29" spans="1:12" s="428" customFormat="1" ht="60.75" customHeight="1" x14ac:dyDescent="0.2">
      <c r="A29" s="408" t="s">
        <v>31</v>
      </c>
      <c r="B29" s="1927" t="s">
        <v>207</v>
      </c>
      <c r="C29" s="1928"/>
      <c r="D29" s="410" t="s">
        <v>660</v>
      </c>
      <c r="E29" s="1520" t="s">
        <v>666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29">
        <v>2</v>
      </c>
      <c r="C30" s="1930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3">
        <f>K25</f>
        <v>1198.75</v>
      </c>
      <c r="C31" s="1914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668</v>
      </c>
    </row>
  </sheetData>
  <mergeCells count="22">
    <mergeCell ref="B19:D19"/>
    <mergeCell ref="I19:J19"/>
    <mergeCell ref="B29:C29"/>
    <mergeCell ref="B30:C30"/>
    <mergeCell ref="B31:C31"/>
    <mergeCell ref="B27:K27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82" zoomScale="80" zoomScaleNormal="100" zoomScaleSheetLayoutView="80" workbookViewId="0">
      <selection activeCell="H102" sqref="H102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/>
      <c r="H1" s="141"/>
    </row>
    <row r="2" spans="1:8" x14ac:dyDescent="0.2">
      <c r="C2" s="70"/>
      <c r="G2" s="1493"/>
      <c r="H2" s="143"/>
    </row>
    <row r="3" spans="1:8" x14ac:dyDescent="0.2">
      <c r="C3" s="70"/>
      <c r="G3" s="1504"/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67" t="s">
        <v>58</v>
      </c>
      <c r="B6" s="1867"/>
      <c r="C6" s="1867"/>
      <c r="D6" s="1867"/>
      <c r="E6" s="1867"/>
      <c r="F6" s="1867"/>
      <c r="G6" s="1867"/>
      <c r="H6" s="1867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68" t="str">
        <f>' ССР (нов)'!A6:G6</f>
        <v xml:space="preserve">Перекладка теплового ввода </v>
      </c>
      <c r="B8" s="1868"/>
      <c r="C8" s="1868"/>
      <c r="D8" s="1868"/>
      <c r="E8" s="1868"/>
      <c r="F8" s="1868"/>
      <c r="G8" s="1868"/>
      <c r="H8" s="1868"/>
    </row>
    <row r="9" spans="1:8" ht="29.25" customHeight="1" x14ac:dyDescent="0.2">
      <c r="A9" s="1868" t="str">
        <f>' ССР (нов)'!A7:G7</f>
        <v>г. Москва , ул. Гамалеи д.11к.1</v>
      </c>
      <c r="B9" s="1868"/>
      <c r="C9" s="1868"/>
      <c r="D9" s="1868"/>
      <c r="E9" s="1868"/>
      <c r="F9" s="1868"/>
      <c r="G9" s="1868"/>
      <c r="H9" s="1868"/>
    </row>
    <row r="10" spans="1:8" ht="19.5" customHeight="1" x14ac:dyDescent="0.2">
      <c r="A10" s="1868" t="s">
        <v>72</v>
      </c>
      <c r="B10" s="1868"/>
      <c r="C10" s="1868"/>
      <c r="D10" s="1868"/>
      <c r="E10" s="1868"/>
      <c r="F10" s="1868"/>
      <c r="G10" s="1868"/>
      <c r="H10" s="1868"/>
    </row>
    <row r="11" spans="1:8" x14ac:dyDescent="0.2">
      <c r="A11" s="1869" t="s">
        <v>101</v>
      </c>
      <c r="B11" s="1869"/>
      <c r="C11" s="1869"/>
      <c r="D11" s="1869"/>
      <c r="E11" s="1869"/>
      <c r="F11" s="1869"/>
      <c r="G11" s="1869"/>
      <c r="H11" s="1869"/>
    </row>
    <row r="12" spans="1:8" ht="18" customHeight="1" x14ac:dyDescent="0.2">
      <c r="A12" s="1869" t="s">
        <v>102</v>
      </c>
      <c r="B12" s="1869"/>
      <c r="C12" s="1869"/>
      <c r="D12" s="1869"/>
      <c r="E12" s="1869"/>
      <c r="F12" s="1869"/>
      <c r="G12" s="1869"/>
      <c r="H12" s="1869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19</v>
      </c>
      <c r="B14" s="1870" t="s">
        <v>3</v>
      </c>
      <c r="C14" s="1871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64" t="s">
        <v>76</v>
      </c>
      <c r="C15" s="1865"/>
      <c r="D15" s="1865"/>
      <c r="E15" s="1865"/>
      <c r="F15" s="1865"/>
      <c r="G15" s="1865"/>
      <c r="H15" s="1866"/>
    </row>
    <row r="16" spans="1:8" ht="16.5" customHeight="1" thickBot="1" x14ac:dyDescent="0.25">
      <c r="A16" s="177"/>
      <c r="B16" s="175" t="s">
        <v>754</v>
      </c>
      <c r="C16" s="174"/>
      <c r="D16" s="174"/>
      <c r="E16" s="174"/>
      <c r="F16" s="174"/>
      <c r="G16" s="1506"/>
      <c r="H16" s="1309"/>
    </row>
    <row r="17" spans="1:8" ht="39" customHeight="1" x14ac:dyDescent="0.2">
      <c r="A17" s="1872">
        <v>1</v>
      </c>
      <c r="B17" s="96" t="s">
        <v>687</v>
      </c>
      <c r="C17" s="94">
        <v>17</v>
      </c>
      <c r="D17" s="95">
        <f>ROUND(C19+C17*C20,2)</f>
        <v>25200</v>
      </c>
      <c r="E17" s="169" t="s">
        <v>165</v>
      </c>
      <c r="F17" s="97">
        <v>1.2</v>
      </c>
      <c r="G17" s="1498"/>
      <c r="H17" s="98"/>
    </row>
    <row r="18" spans="1:8" ht="31.5" x14ac:dyDescent="0.2">
      <c r="A18" s="1873"/>
      <c r="B18" s="100" t="s">
        <v>759</v>
      </c>
      <c r="C18" s="148"/>
      <c r="D18" s="99"/>
      <c r="E18" s="100" t="s">
        <v>166</v>
      </c>
      <c r="F18" s="91">
        <v>1.1000000000000001</v>
      </c>
      <c r="G18" s="1507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73"/>
      <c r="B19" s="90" t="s">
        <v>141</v>
      </c>
      <c r="C19" s="102">
        <v>25200</v>
      </c>
      <c r="D19" s="99"/>
      <c r="E19" s="1653" t="s">
        <v>688</v>
      </c>
      <c r="F19" s="1453">
        <v>0.35</v>
      </c>
      <c r="G19" s="1507"/>
      <c r="H19" s="101"/>
    </row>
    <row r="20" spans="1:8" ht="22.5" customHeight="1" thickBot="1" x14ac:dyDescent="0.25">
      <c r="A20" s="1873"/>
      <c r="B20" s="153" t="s">
        <v>12</v>
      </c>
      <c r="C20" s="102">
        <v>0</v>
      </c>
      <c r="D20" s="99"/>
      <c r="E20" s="1653" t="s">
        <v>689</v>
      </c>
      <c r="F20" s="1453">
        <v>1.75</v>
      </c>
      <c r="G20" s="1507"/>
      <c r="H20" s="1310"/>
    </row>
    <row r="21" spans="1:8" ht="16.5" hidden="1" customHeight="1" x14ac:dyDescent="0.2">
      <c r="A21" s="1873"/>
      <c r="B21" s="153"/>
      <c r="C21" s="102"/>
      <c r="D21" s="99"/>
      <c r="E21" s="1452" t="s">
        <v>149</v>
      </c>
      <c r="F21" s="1453">
        <v>2</v>
      </c>
      <c r="G21" s="1507"/>
      <c r="H21" s="1310"/>
    </row>
    <row r="22" spans="1:8" ht="43.5" hidden="1" customHeight="1" x14ac:dyDescent="0.2">
      <c r="A22" s="1873"/>
      <c r="B22" s="153" t="s">
        <v>559</v>
      </c>
      <c r="C22" s="188">
        <v>53</v>
      </c>
      <c r="D22" s="99"/>
      <c r="E22" s="1452" t="s">
        <v>645</v>
      </c>
      <c r="F22" s="1453">
        <v>0.8</v>
      </c>
      <c r="H22" s="1310"/>
    </row>
    <row r="23" spans="1:8" ht="42.75" hidden="1" customHeight="1" thickBot="1" x14ac:dyDescent="0.25">
      <c r="A23" s="1874"/>
      <c r="B23" s="176" t="s">
        <v>560</v>
      </c>
      <c r="C23" s="1308">
        <v>29.2</v>
      </c>
      <c r="D23" s="89"/>
      <c r="E23" s="1454" t="s">
        <v>646</v>
      </c>
      <c r="F23" s="1455">
        <v>0.6</v>
      </c>
      <c r="G23" s="1508" t="str">
        <f>CONCATENATE("(",D17,"*",F20,"+",D17,"*",F19,")*    ",F17,"*",F18,"*",C23,"/",C17)</f>
        <v>(25200*1,75+25200*0,35)*    1,2*1,1*29,2/17</v>
      </c>
      <c r="H23" s="1311"/>
    </row>
    <row r="24" spans="1:8" s="1553" customFormat="1" hidden="1" x14ac:dyDescent="0.2">
      <c r="A24" s="1548"/>
      <c r="B24" s="1549" t="s">
        <v>139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5">
        <v>2</v>
      </c>
      <c r="B25" s="1554" t="s">
        <v>137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5"/>
      <c r="B26" s="1561" t="s">
        <v>168</v>
      </c>
      <c r="C26" s="1562">
        <v>0</v>
      </c>
      <c r="D26" s="1563">
        <f>C28+C29*C26</f>
        <v>0</v>
      </c>
      <c r="E26" s="1564" t="s">
        <v>134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5"/>
      <c r="B27" s="1568" t="s">
        <v>138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5"/>
      <c r="B28" s="1575" t="s">
        <v>169</v>
      </c>
      <c r="C28" s="1576">
        <v>0</v>
      </c>
      <c r="D28" s="1570"/>
      <c r="E28" s="1577" t="s">
        <v>137</v>
      </c>
      <c r="F28" s="1572">
        <v>1</v>
      </c>
      <c r="G28" s="1573"/>
      <c r="H28" s="1574"/>
    </row>
    <row r="29" spans="1:8" s="1553" customFormat="1" ht="16.5" hidden="1" thickBot="1" x14ac:dyDescent="0.25">
      <c r="A29" s="1876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135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908">
        <v>3</v>
      </c>
      <c r="B31" s="1593" t="s">
        <v>171</v>
      </c>
      <c r="C31" s="1594"/>
      <c r="D31" s="1563">
        <f>ROUND(C32+C31*C33,2)</f>
        <v>0</v>
      </c>
      <c r="E31" s="1564" t="s">
        <v>134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908"/>
      <c r="B32" s="1575" t="s">
        <v>169</v>
      </c>
      <c r="C32" s="1595">
        <v>0</v>
      </c>
      <c r="D32" s="1570"/>
      <c r="E32" s="1577" t="s">
        <v>135</v>
      </c>
      <c r="F32" s="1572">
        <v>1</v>
      </c>
      <c r="G32" s="1573" t="s">
        <v>47</v>
      </c>
      <c r="H32" s="1574"/>
    </row>
    <row r="33" spans="1:9" s="1553" customFormat="1" ht="16.5" hidden="1" thickBot="1" x14ac:dyDescent="0.25">
      <c r="A33" s="1909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x14ac:dyDescent="0.2">
      <c r="A34" s="179"/>
      <c r="B34" s="180" t="s">
        <v>140</v>
      </c>
      <c r="C34" s="181"/>
      <c r="D34" s="181"/>
      <c r="E34" s="181"/>
      <c r="F34" s="181"/>
      <c r="G34" s="1509"/>
      <c r="H34" s="1312"/>
    </row>
    <row r="35" spans="1:9" x14ac:dyDescent="0.2">
      <c r="A35" s="187"/>
      <c r="B35" s="182" t="s">
        <v>137</v>
      </c>
      <c r="C35" s="183"/>
      <c r="D35" s="84"/>
      <c r="E35" s="85"/>
      <c r="F35" s="83"/>
      <c r="G35" s="1510"/>
      <c r="H35" s="1313"/>
    </row>
    <row r="36" spans="1:9" ht="31.5" x14ac:dyDescent="0.2">
      <c r="A36" s="1890">
        <v>2</v>
      </c>
      <c r="B36" s="190" t="s">
        <v>170</v>
      </c>
      <c r="C36" s="193"/>
      <c r="D36" s="87">
        <f>C39+C40*C36</f>
        <v>89000</v>
      </c>
      <c r="E36" s="695" t="s">
        <v>165</v>
      </c>
      <c r="F36" s="696">
        <v>1.2</v>
      </c>
      <c r="G36" s="1501" t="str">
        <f>CONCATENATE(D36,"*",F36,"*",F39,"*",F37)</f>
        <v>89000*1,2*1*1</v>
      </c>
      <c r="H36" s="196">
        <f>ROUND(D36*F36*F39*F37,2)</f>
        <v>106800</v>
      </c>
    </row>
    <row r="37" spans="1:9" x14ac:dyDescent="0.2">
      <c r="A37" s="1890"/>
      <c r="B37" s="675" t="s">
        <v>561</v>
      </c>
      <c r="C37" s="197"/>
      <c r="D37" s="99"/>
      <c r="E37" s="676" t="s">
        <v>134</v>
      </c>
      <c r="F37" s="91">
        <v>1</v>
      </c>
      <c r="G37" s="1507"/>
      <c r="H37" s="1310"/>
    </row>
    <row r="38" spans="1:9" x14ac:dyDescent="0.2">
      <c r="A38" s="1890"/>
      <c r="B38" s="675"/>
      <c r="C38" s="197"/>
      <c r="D38" s="99"/>
      <c r="E38" s="170"/>
      <c r="F38" s="91"/>
      <c r="G38" s="1507"/>
      <c r="H38" s="1310"/>
    </row>
    <row r="39" spans="1:9" x14ac:dyDescent="0.2">
      <c r="A39" s="1890"/>
      <c r="B39" s="676" t="s">
        <v>169</v>
      </c>
      <c r="C39" s="198">
        <v>89000</v>
      </c>
      <c r="D39" s="99"/>
      <c r="E39" s="199" t="s">
        <v>137</v>
      </c>
      <c r="F39" s="91">
        <v>1</v>
      </c>
      <c r="G39" s="1507"/>
      <c r="H39" s="1310"/>
    </row>
    <row r="40" spans="1:9" ht="16.5" thickBot="1" x14ac:dyDescent="0.25">
      <c r="A40" s="1890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x14ac:dyDescent="0.2">
      <c r="A41" s="184"/>
      <c r="B41" s="185" t="s">
        <v>135</v>
      </c>
      <c r="C41" s="186"/>
      <c r="D41" s="82"/>
      <c r="E41" s="92"/>
      <c r="F41" s="93"/>
      <c r="G41" s="1511"/>
      <c r="H41" s="1314"/>
    </row>
    <row r="42" spans="1:9" ht="47.25" x14ac:dyDescent="0.2">
      <c r="A42" s="1890">
        <v>3</v>
      </c>
      <c r="B42" s="192" t="s">
        <v>136</v>
      </c>
      <c r="C42" s="200"/>
      <c r="D42" s="87">
        <f>ROUND(C43+C42*C44,2)</f>
        <v>11000</v>
      </c>
      <c r="E42" s="695" t="s">
        <v>165</v>
      </c>
      <c r="F42" s="696">
        <v>1.2</v>
      </c>
      <c r="G42" s="1500" t="str">
        <f>CONCATENATE(D42,"*",F42,"*",F43,"*",F44)</f>
        <v>11000*1,2*1*1</v>
      </c>
      <c r="H42" s="196">
        <f>ROUND(D42*F42*F43,2)</f>
        <v>13200</v>
      </c>
    </row>
    <row r="43" spans="1:9" ht="31.5" x14ac:dyDescent="0.2">
      <c r="A43" s="1890"/>
      <c r="B43" s="676" t="s">
        <v>121</v>
      </c>
      <c r="C43" s="102">
        <v>11000</v>
      </c>
      <c r="D43" s="99"/>
      <c r="E43" s="199" t="s">
        <v>135</v>
      </c>
      <c r="F43" s="91">
        <v>1</v>
      </c>
      <c r="G43" s="1512" t="s">
        <v>47</v>
      </c>
      <c r="H43" s="1310"/>
    </row>
    <row r="44" spans="1:9" ht="24.75" customHeight="1" thickBot="1" x14ac:dyDescent="0.25">
      <c r="A44" s="1892"/>
      <c r="B44" s="176" t="s">
        <v>12</v>
      </c>
      <c r="C44" s="171">
        <v>0</v>
      </c>
      <c r="D44" s="89"/>
      <c r="E44" s="172" t="s">
        <v>134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755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3">
        <v>6</v>
      </c>
      <c r="B46" s="466" t="s">
        <v>214</v>
      </c>
      <c r="C46" s="473">
        <v>16.7</v>
      </c>
      <c r="D46" s="99">
        <f>ROUND(C48+C46*C49,0)</f>
        <v>25200</v>
      </c>
      <c r="E46" s="462"/>
      <c r="F46" s="91"/>
      <c r="G46" s="1499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73"/>
      <c r="B47" s="464" t="s">
        <v>758</v>
      </c>
      <c r="C47" s="1829">
        <f>-ПОЖ!D164500</f>
        <v>0</v>
      </c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3"/>
      <c r="B48" s="466" t="s">
        <v>141</v>
      </c>
      <c r="C48" s="467">
        <v>25200</v>
      </c>
      <c r="D48" s="99"/>
      <c r="E48" s="465" t="s">
        <v>216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4"/>
      <c r="B49" s="468" t="s">
        <v>12</v>
      </c>
      <c r="C49" s="469">
        <v>0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96">
        <v>7</v>
      </c>
      <c r="B50" s="461" t="s">
        <v>217</v>
      </c>
      <c r="C50" s="471"/>
      <c r="D50" s="95">
        <f>ROUND(C52+C50*C53,2)</f>
        <v>59000</v>
      </c>
      <c r="E50" s="461" t="s">
        <v>134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96"/>
      <c r="B51" s="460" t="s">
        <v>756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96"/>
      <c r="B52" s="462" t="s">
        <v>169</v>
      </c>
      <c r="C52" s="467">
        <v>59000</v>
      </c>
      <c r="D52" s="99"/>
      <c r="E52" s="465" t="s">
        <v>216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97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910">
        <v>8</v>
      </c>
      <c r="B54" s="192" t="s">
        <v>218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96"/>
      <c r="B55" s="460"/>
      <c r="C55" s="197"/>
      <c r="D55" s="99"/>
      <c r="E55" s="462" t="s">
        <v>215</v>
      </c>
      <c r="F55" s="91">
        <v>2</v>
      </c>
      <c r="G55" s="1507"/>
      <c r="H55" s="1310"/>
      <c r="I55" s="463"/>
    </row>
    <row r="56" spans="1:20" s="5" customFormat="1" ht="31.5" x14ac:dyDescent="0.2">
      <c r="A56" s="1896"/>
      <c r="B56" s="462" t="s">
        <v>169</v>
      </c>
      <c r="C56" s="467">
        <v>11000</v>
      </c>
      <c r="D56" s="99"/>
      <c r="E56" s="465" t="s">
        <v>216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97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116</v>
      </c>
      <c r="C58" s="181"/>
      <c r="D58" s="181"/>
      <c r="E58" s="181"/>
      <c r="F58" s="181"/>
      <c r="G58" s="1509"/>
      <c r="H58" s="1312"/>
    </row>
    <row r="59" spans="1:20" ht="94.5" x14ac:dyDescent="0.2">
      <c r="A59" s="1873">
        <v>4</v>
      </c>
      <c r="B59" s="189" t="s">
        <v>117</v>
      </c>
      <c r="C59" s="188">
        <f>C17</f>
        <v>17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3"/>
      <c r="B60" s="90" t="s">
        <v>118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3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564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911">
        <v>5</v>
      </c>
      <c r="B63" s="191" t="s">
        <v>562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911"/>
      <c r="B64" s="1331" t="s">
        <v>563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912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62</v>
      </c>
      <c r="C66" s="1503"/>
      <c r="D66" s="1503"/>
      <c r="E66" s="1503"/>
      <c r="F66" s="1503"/>
      <c r="G66" s="1514"/>
      <c r="H66" s="202">
        <f>SUM(H17:H65)</f>
        <v>258244</v>
      </c>
    </row>
    <row r="67" spans="1:20" ht="43.5" customHeight="1" thickBot="1" x14ac:dyDescent="0.25">
      <c r="A67" s="104"/>
      <c r="B67" s="1891" t="s">
        <v>77</v>
      </c>
      <c r="C67" s="1891"/>
      <c r="D67" s="1891"/>
      <c r="E67" s="149" t="s">
        <v>167</v>
      </c>
      <c r="F67" s="105">
        <v>1.02</v>
      </c>
      <c r="G67" s="1497" t="str">
        <f>CONCATENATE(H66,"*",F67)</f>
        <v>258244*1,02</v>
      </c>
      <c r="H67" s="106">
        <f>ROUND(H66*F67,2)</f>
        <v>263408.88</v>
      </c>
    </row>
    <row r="68" spans="1:20" ht="16.5" thickBot="1" x14ac:dyDescent="0.25">
      <c r="A68" s="1893" t="s">
        <v>13</v>
      </c>
      <c r="B68" s="1894"/>
      <c r="C68" s="1894"/>
      <c r="D68" s="1894"/>
      <c r="E68" s="1894"/>
      <c r="F68" s="1894"/>
      <c r="G68" s="1894"/>
      <c r="H68" s="1895"/>
    </row>
    <row r="69" spans="1:20" x14ac:dyDescent="0.2">
      <c r="A69" s="1883" t="s">
        <v>2</v>
      </c>
      <c r="B69" s="1884"/>
      <c r="C69" s="1884"/>
      <c r="D69" s="1884"/>
      <c r="E69" s="1884"/>
      <c r="F69" s="1884"/>
      <c r="G69" s="1884"/>
      <c r="H69" s="1885"/>
    </row>
    <row r="70" spans="1:20" ht="16.5" thickBot="1" x14ac:dyDescent="0.25">
      <c r="A70" s="1880" t="s">
        <v>98</v>
      </c>
      <c r="B70" s="1881"/>
      <c r="C70" s="1881"/>
      <c r="D70" s="1881"/>
      <c r="E70" s="1881"/>
      <c r="F70" s="1881"/>
      <c r="G70" s="1881"/>
      <c r="H70" s="1882"/>
    </row>
    <row r="71" spans="1:20" s="54" customFormat="1" ht="15" x14ac:dyDescent="0.2">
      <c r="A71" s="230"/>
      <c r="B71" s="231" t="s">
        <v>175</v>
      </c>
      <c r="C71" s="232" t="s">
        <v>176</v>
      </c>
      <c r="D71" s="233">
        <f>C80</f>
        <v>1.7000000000000001E-2</v>
      </c>
      <c r="E71" s="234"/>
      <c r="F71" s="234"/>
      <c r="G71" s="234" t="s">
        <v>14</v>
      </c>
      <c r="H71" s="1316"/>
    </row>
    <row r="72" spans="1:20" ht="60" x14ac:dyDescent="0.2">
      <c r="A72" s="1886">
        <v>1</v>
      </c>
      <c r="B72" s="229" t="s">
        <v>172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6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6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7" t="s">
        <v>10</v>
      </c>
      <c r="B76" s="1888"/>
      <c r="C76" s="1888"/>
      <c r="D76" s="1888"/>
      <c r="E76" s="1888"/>
      <c r="F76" s="1888"/>
      <c r="G76" s="1888"/>
      <c r="H76" s="1889"/>
    </row>
    <row r="77" spans="1:20" s="54" customFormat="1" ht="61.5" customHeight="1" thickBot="1" x14ac:dyDescent="0.25">
      <c r="A77" s="1877" t="s">
        <v>565</v>
      </c>
      <c r="B77" s="1878"/>
      <c r="C77" s="1878"/>
      <c r="D77" s="1878"/>
      <c r="E77" s="1878"/>
      <c r="F77" s="1878"/>
      <c r="G77" s="1878"/>
      <c r="H77" s="1879"/>
      <c r="I77" s="209"/>
      <c r="J77" s="224"/>
    </row>
    <row r="78" spans="1:20" s="36" customFormat="1" ht="16.5" thickTop="1" x14ac:dyDescent="0.2">
      <c r="A78" s="115"/>
      <c r="B78" s="215" t="s">
        <v>57</v>
      </c>
      <c r="C78" s="216">
        <f>C17</f>
        <v>17</v>
      </c>
      <c r="D78" s="217" t="s">
        <v>15</v>
      </c>
      <c r="E78" s="218"/>
      <c r="F78" s="218"/>
      <c r="G78" s="218"/>
      <c r="H78" s="1317"/>
      <c r="I78" s="210"/>
      <c r="J78" s="225"/>
    </row>
    <row r="79" spans="1:20" s="36" customFormat="1" ht="18" thickBot="1" x14ac:dyDescent="0.25">
      <c r="A79" s="116"/>
      <c r="B79" s="219" t="s">
        <v>173</v>
      </c>
      <c r="C79" s="220">
        <f>SUM(C78*10)</f>
        <v>170</v>
      </c>
      <c r="D79" s="221" t="s">
        <v>174</v>
      </c>
      <c r="E79" s="222"/>
      <c r="F79" s="222"/>
      <c r="G79" s="222"/>
      <c r="H79" s="1318"/>
      <c r="I79" s="211"/>
      <c r="J79" s="225"/>
    </row>
    <row r="80" spans="1:20" s="36" customFormat="1" ht="18.75" thickTop="1" thickBot="1" x14ac:dyDescent="0.25">
      <c r="A80" s="117"/>
      <c r="B80" s="235" t="s">
        <v>173</v>
      </c>
      <c r="C80" s="236">
        <f>C79/10000</f>
        <v>1.7000000000000001E-2</v>
      </c>
      <c r="D80" s="237" t="s">
        <v>16</v>
      </c>
      <c r="E80" s="238"/>
      <c r="F80" s="238"/>
      <c r="G80" s="238"/>
      <c r="H80" s="1319"/>
      <c r="I80" s="212"/>
      <c r="J80" s="214"/>
      <c r="K80" s="35"/>
    </row>
    <row r="81" spans="1:15" s="36" customFormat="1" ht="69" customHeight="1" thickBot="1" x14ac:dyDescent="0.25">
      <c r="A81" s="213"/>
      <c r="B81" s="1901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0,017 га.  Количество деревьев -  шт.  Количество кустарников -  шт.</v>
      </c>
      <c r="C81" s="1902"/>
      <c r="D81" s="1903"/>
      <c r="E81" s="223"/>
      <c r="F81" s="1904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:5= шт.(условных деревьев). Всего деревьев += шт. На 1га приходится условных деревьев: :0,017=.</v>
      </c>
      <c r="G81" s="1905"/>
      <c r="H81" s="1906"/>
      <c r="I81" s="214"/>
      <c r="J81" s="214"/>
    </row>
    <row r="82" spans="1:15" x14ac:dyDescent="0.2">
      <c r="A82" s="157"/>
      <c r="B82" s="1907" t="s">
        <v>79</v>
      </c>
      <c r="C82" s="1907"/>
      <c r="D82" s="1907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566</v>
      </c>
      <c r="C83" s="158"/>
      <c r="D83" s="122">
        <v>2038</v>
      </c>
      <c r="E83" s="1537" t="s">
        <v>662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567</v>
      </c>
      <c r="C84" s="158"/>
      <c r="D84" s="122">
        <v>8099</v>
      </c>
      <c r="E84" s="1537" t="s">
        <v>662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568</v>
      </c>
      <c r="C85" s="158"/>
      <c r="D85" s="122">
        <v>2038</v>
      </c>
      <c r="E85" s="1537" t="s">
        <v>662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569</v>
      </c>
      <c r="C86" s="158"/>
      <c r="D86" s="122">
        <v>2495</v>
      </c>
      <c r="E86" s="1537" t="s">
        <v>662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570</v>
      </c>
      <c r="C87" s="159"/>
      <c r="D87" s="129">
        <v>4074</v>
      </c>
      <c r="E87" s="1537" t="s">
        <v>662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98" t="s">
        <v>11</v>
      </c>
      <c r="C88" s="1899"/>
      <c r="D88" s="1899"/>
      <c r="E88" s="1899"/>
      <c r="F88" s="1899"/>
      <c r="G88" s="1900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63</v>
      </c>
      <c r="C89" s="134"/>
      <c r="D89" s="135"/>
      <c r="E89" s="135"/>
      <c r="F89" s="135"/>
      <c r="G89" s="1516"/>
      <c r="H89" s="106">
        <f>ROUND(H67+H75+H88,2)</f>
        <v>331466.88</v>
      </c>
    </row>
    <row r="90" spans="1:15" s="678" customFormat="1" ht="24.75" hidden="1" customHeight="1" thickBot="1" x14ac:dyDescent="0.25">
      <c r="A90" s="677"/>
      <c r="B90" s="1856" t="s">
        <v>287</v>
      </c>
      <c r="C90" s="1857"/>
      <c r="D90" s="1857"/>
      <c r="E90" s="1857"/>
      <c r="F90" s="1857"/>
      <c r="G90" s="1857"/>
      <c r="H90" s="1858"/>
    </row>
    <row r="91" spans="1:15" s="35" customFormat="1" ht="37.15" hidden="1" customHeight="1" thickBot="1" x14ac:dyDescent="0.25">
      <c r="A91" s="679"/>
      <c r="B91" s="1859" t="s">
        <v>301</v>
      </c>
      <c r="C91" s="1860"/>
      <c r="D91" s="1860"/>
      <c r="E91" s="1860"/>
      <c r="F91" s="1860"/>
      <c r="G91" s="1860"/>
      <c r="H91" s="1861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854" t="s">
        <v>288</v>
      </c>
      <c r="C92" s="1855"/>
      <c r="D92" s="1540">
        <v>5036.72</v>
      </c>
      <c r="E92" s="1541" t="s">
        <v>289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862" t="s">
        <v>290</v>
      </c>
      <c r="C93" s="1863"/>
      <c r="D93" s="682">
        <v>6619.69</v>
      </c>
      <c r="E93" s="683" t="s">
        <v>291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854" t="s">
        <v>292</v>
      </c>
      <c r="C94" s="1855"/>
      <c r="D94" s="1540">
        <v>5036.72</v>
      </c>
      <c r="E94" s="1541" t="s">
        <v>293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854" t="s">
        <v>294</v>
      </c>
      <c r="C95" s="1855"/>
      <c r="D95" s="1540">
        <v>7411.18</v>
      </c>
      <c r="E95" s="1541" t="s">
        <v>295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854" t="s">
        <v>296</v>
      </c>
      <c r="C96" s="1855"/>
      <c r="D96" s="1540">
        <v>8154.7</v>
      </c>
      <c r="E96" s="1541" t="s">
        <v>297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854" t="s">
        <v>298</v>
      </c>
      <c r="C97" s="1855"/>
      <c r="D97" s="1540">
        <v>8154.7</v>
      </c>
      <c r="E97" s="1541" t="s">
        <v>299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300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326302</v>
      </c>
    </row>
  </sheetData>
  <mergeCells count="37">
    <mergeCell ref="B88:G88"/>
    <mergeCell ref="B81:D81"/>
    <mergeCell ref="F81:H81"/>
    <mergeCell ref="B82:D82"/>
    <mergeCell ref="A31:A33"/>
    <mergeCell ref="A54:A57"/>
    <mergeCell ref="A63:A65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15:H15"/>
    <mergeCell ref="A6:H6"/>
    <mergeCell ref="A8:H8"/>
    <mergeCell ref="A11:H11"/>
    <mergeCell ref="A12:H12"/>
    <mergeCell ref="B14:C14"/>
    <mergeCell ref="A9:H9"/>
    <mergeCell ref="A10:H10"/>
    <mergeCell ref="B95:C95"/>
    <mergeCell ref="B96:C96"/>
    <mergeCell ref="B97:C97"/>
    <mergeCell ref="B90:H90"/>
    <mergeCell ref="B91:H91"/>
    <mergeCell ref="B92:C92"/>
    <mergeCell ref="B93:C93"/>
    <mergeCell ref="B94:C9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5"/>
      <c r="I1" s="1935"/>
      <c r="K1" s="1935"/>
      <c r="L1" s="1935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5"/>
      <c r="L2" s="1935"/>
      <c r="M2" s="1935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5"/>
      <c r="I4" s="1935"/>
      <c r="K4" s="1935"/>
      <c r="L4" s="1935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34" t="s">
        <v>548</v>
      </c>
      <c r="B7" s="1934"/>
      <c r="C7" s="1934"/>
      <c r="D7" s="1934"/>
      <c r="E7" s="1934"/>
      <c r="F7" s="1934"/>
      <c r="G7" s="1934"/>
      <c r="H7" s="1934"/>
      <c r="I7" s="1934"/>
      <c r="J7" s="1934"/>
      <c r="K7" s="1934"/>
    </row>
    <row r="8" spans="1:13" s="431" customFormat="1" ht="30.75" customHeight="1" x14ac:dyDescent="0.2">
      <c r="A8" s="1931" t="str">
        <f>' ССР (нов)'!A6:G6</f>
        <v xml:space="preserve">Перекладка теплового ввода </v>
      </c>
      <c r="B8" s="1932"/>
      <c r="C8" s="1932"/>
      <c r="D8" s="1932"/>
      <c r="E8" s="1932"/>
      <c r="F8" s="1932"/>
      <c r="G8" s="1932"/>
      <c r="H8" s="1932"/>
      <c r="I8" s="1932"/>
      <c r="J8" s="1932"/>
      <c r="K8" s="1932"/>
    </row>
    <row r="9" spans="1:13" s="431" customFormat="1" ht="25.5" customHeight="1" x14ac:dyDescent="0.2">
      <c r="A9" s="1931" t="str">
        <f>' ССР (нов)'!A7:G7</f>
        <v>г. Москва , ул. Гамалеи д.11к.1</v>
      </c>
      <c r="B9" s="1931"/>
      <c r="C9" s="1931"/>
      <c r="D9" s="1931"/>
      <c r="E9" s="1931"/>
      <c r="F9" s="1931"/>
      <c r="G9" s="1931"/>
      <c r="H9" s="1931"/>
      <c r="I9" s="1931"/>
      <c r="J9" s="1931"/>
      <c r="K9" s="1931"/>
    </row>
    <row r="10" spans="1:13" s="403" customFormat="1" ht="27" customHeight="1" x14ac:dyDescent="0.2">
      <c r="A10" s="1931" t="s">
        <v>571</v>
      </c>
      <c r="B10" s="1931"/>
      <c r="C10" s="1931"/>
      <c r="D10" s="1931"/>
      <c r="E10" s="1931"/>
      <c r="F10" s="1931"/>
      <c r="G10" s="1931"/>
      <c r="H10" s="1931"/>
      <c r="I10" s="1931"/>
      <c r="J10" s="1931"/>
      <c r="K10" s="1931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33" t="s">
        <v>187</v>
      </c>
      <c r="B12" s="1933"/>
      <c r="C12" s="1933"/>
      <c r="D12" s="1933"/>
      <c r="E12" s="1933"/>
      <c r="F12" s="1933"/>
      <c r="G12" s="1933"/>
      <c r="H12" s="1933"/>
      <c r="I12" s="1933"/>
      <c r="J12" s="1933"/>
      <c r="K12" s="1933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188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16" t="s">
        <v>189</v>
      </c>
      <c r="C16" s="1916"/>
      <c r="D16" s="1916"/>
      <c r="E16" s="407" t="s">
        <v>190</v>
      </c>
      <c r="F16" s="407" t="s">
        <v>191</v>
      </c>
      <c r="G16" s="407" t="s">
        <v>192</v>
      </c>
      <c r="H16" s="407" t="s">
        <v>193</v>
      </c>
      <c r="I16" s="1916" t="s">
        <v>194</v>
      </c>
      <c r="J16" s="1916"/>
      <c r="K16" s="1917"/>
    </row>
    <row r="17" spans="1:12" s="428" customFormat="1" ht="16.5" thickBot="1" x14ac:dyDescent="0.25">
      <c r="A17" s="448">
        <v>1</v>
      </c>
      <c r="B17" s="1918">
        <v>2</v>
      </c>
      <c r="C17" s="1918"/>
      <c r="D17" s="1918"/>
      <c r="E17" s="449">
        <v>3</v>
      </c>
      <c r="F17" s="449">
        <v>4</v>
      </c>
      <c r="G17" s="449">
        <v>5</v>
      </c>
      <c r="H17" s="449">
        <v>6</v>
      </c>
      <c r="I17" s="1918">
        <v>7</v>
      </c>
      <c r="J17" s="1918"/>
      <c r="K17" s="1919"/>
    </row>
    <row r="18" spans="1:12" s="428" customFormat="1" ht="20.25" customHeight="1" thickTop="1" x14ac:dyDescent="0.2">
      <c r="A18" s="421">
        <v>1</v>
      </c>
      <c r="B18" s="1926" t="s">
        <v>195</v>
      </c>
      <c r="C18" s="1926"/>
      <c r="D18" s="1926"/>
      <c r="E18" s="422">
        <v>0.5</v>
      </c>
      <c r="F18" s="447"/>
      <c r="G18" s="422">
        <v>1</v>
      </c>
      <c r="H18" s="423">
        <v>1.85</v>
      </c>
      <c r="I18" s="1920">
        <f>E18/$F$23*G18*H18</f>
        <v>0.23125000000000001</v>
      </c>
      <c r="J18" s="1920"/>
      <c r="K18" s="1921"/>
      <c r="L18" s="434"/>
    </row>
    <row r="19" spans="1:12" s="428" customFormat="1" ht="20.25" customHeight="1" x14ac:dyDescent="0.2">
      <c r="A19" s="412">
        <v>2</v>
      </c>
      <c r="B19" s="1925" t="s">
        <v>196</v>
      </c>
      <c r="C19" s="1925"/>
      <c r="D19" s="1925"/>
      <c r="E19" s="413">
        <v>1</v>
      </c>
      <c r="F19" s="437"/>
      <c r="G19" s="413">
        <v>1</v>
      </c>
      <c r="H19" s="414">
        <v>1.8</v>
      </c>
      <c r="I19" s="1922">
        <f>E19/$F$23*G19*H19</f>
        <v>0.45</v>
      </c>
      <c r="J19" s="1922"/>
      <c r="K19" s="1923"/>
      <c r="L19" s="434"/>
    </row>
    <row r="20" spans="1:12" s="428" customFormat="1" ht="20.25" customHeight="1" x14ac:dyDescent="0.2">
      <c r="A20" s="412">
        <v>3</v>
      </c>
      <c r="B20" s="1925" t="s">
        <v>208</v>
      </c>
      <c r="C20" s="1925"/>
      <c r="D20" s="1925"/>
      <c r="E20" s="413">
        <v>1</v>
      </c>
      <c r="F20" s="437"/>
      <c r="G20" s="413">
        <v>1</v>
      </c>
      <c r="H20" s="414">
        <v>1</v>
      </c>
      <c r="I20" s="1922">
        <f>E20/$F$23*G20*H20</f>
        <v>0.25</v>
      </c>
      <c r="J20" s="1922"/>
      <c r="K20" s="1923"/>
      <c r="L20" s="434"/>
    </row>
    <row r="21" spans="1:12" s="428" customFormat="1" ht="20.25" customHeight="1" x14ac:dyDescent="0.2">
      <c r="A21" s="412">
        <v>4</v>
      </c>
      <c r="B21" s="1925" t="s">
        <v>208</v>
      </c>
      <c r="C21" s="1925"/>
      <c r="D21" s="1925"/>
      <c r="E21" s="413">
        <v>1</v>
      </c>
      <c r="F21" s="437"/>
      <c r="G21" s="413">
        <v>1</v>
      </c>
      <c r="H21" s="414">
        <v>1</v>
      </c>
      <c r="I21" s="1922">
        <f>E21/$F$23*G21*H21</f>
        <v>0.25</v>
      </c>
      <c r="J21" s="1922"/>
      <c r="K21" s="1923"/>
      <c r="L21" s="434"/>
    </row>
    <row r="22" spans="1:12" s="428" customFormat="1" ht="20.25" customHeight="1" x14ac:dyDescent="0.2">
      <c r="A22" s="412">
        <v>5</v>
      </c>
      <c r="B22" s="1925" t="s">
        <v>208</v>
      </c>
      <c r="C22" s="1925"/>
      <c r="D22" s="1925"/>
      <c r="E22" s="413">
        <v>0.5</v>
      </c>
      <c r="F22" s="437"/>
      <c r="G22" s="413">
        <v>1</v>
      </c>
      <c r="H22" s="414">
        <v>1</v>
      </c>
      <c r="I22" s="1922">
        <f>E22/$F$23*G22*H22</f>
        <v>0.125</v>
      </c>
      <c r="J22" s="1922"/>
      <c r="K22" s="1923"/>
      <c r="L22" s="434"/>
    </row>
    <row r="23" spans="1:12" s="420" customFormat="1" ht="33" customHeight="1" thickBot="1" x14ac:dyDescent="0.25">
      <c r="A23" s="415"/>
      <c r="B23" s="1915" t="s">
        <v>85</v>
      </c>
      <c r="C23" s="1915"/>
      <c r="D23" s="1915"/>
      <c r="E23" s="416"/>
      <c r="F23" s="417">
        <v>4</v>
      </c>
      <c r="G23" s="418">
        <f>SUM(G18:G22)</f>
        <v>5</v>
      </c>
      <c r="H23" s="419"/>
      <c r="I23" s="1924" t="str">
        <f>CONCATENATE("(",I18,"+",I19,"+",I20,"               +",I21,"+",I22,")/",G23)</f>
        <v>(0,23125+0,45+0,25               +0,25+0,125)/5</v>
      </c>
      <c r="J23" s="1924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197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31</v>
      </c>
      <c r="B27" s="409" t="s">
        <v>198</v>
      </c>
      <c r="C27" s="410" t="s">
        <v>199</v>
      </c>
      <c r="D27" s="410" t="s">
        <v>200</v>
      </c>
      <c r="E27" s="410" t="s">
        <v>201</v>
      </c>
      <c r="F27" s="410" t="s">
        <v>202</v>
      </c>
      <c r="G27" s="410" t="s">
        <v>203</v>
      </c>
      <c r="H27" s="410" t="s">
        <v>204</v>
      </c>
      <c r="I27" s="410" t="s">
        <v>205</v>
      </c>
      <c r="J27" s="410" t="s">
        <v>206</v>
      </c>
      <c r="K27" s="411" t="s">
        <v>207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209</v>
      </c>
    </row>
    <row r="32" spans="1:12" ht="3.75" customHeight="1" thickBot="1" x14ac:dyDescent="0.25"/>
    <row r="33" spans="1:11" s="428" customFormat="1" ht="60.75" customHeight="1" x14ac:dyDescent="0.2">
      <c r="A33" s="408" t="s">
        <v>31</v>
      </c>
      <c r="B33" s="1927" t="s">
        <v>207</v>
      </c>
      <c r="C33" s="1928"/>
      <c r="D33" s="410" t="s">
        <v>210</v>
      </c>
      <c r="E33" s="411" t="s">
        <v>85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29">
        <v>2</v>
      </c>
      <c r="C34" s="1930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3">
        <f>K29</f>
        <v>6257.48</v>
      </c>
      <c r="C35" s="1914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A7:K7"/>
    <mergeCell ref="H1:I1"/>
    <mergeCell ref="K1:L1"/>
    <mergeCell ref="K2:M2"/>
    <mergeCell ref="H4:I4"/>
    <mergeCell ref="K4:L4"/>
    <mergeCell ref="B34:C34"/>
    <mergeCell ref="B22:D22"/>
    <mergeCell ref="B20:D20"/>
    <mergeCell ref="A8:K8"/>
    <mergeCell ref="A10:K10"/>
    <mergeCell ref="A12:K12"/>
    <mergeCell ref="A9:K9"/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69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1" t="s">
        <v>48</v>
      </c>
      <c r="G1" s="1941"/>
      <c r="H1" s="1941"/>
    </row>
    <row r="2" spans="1:9" hidden="1" x14ac:dyDescent="0.25">
      <c r="A2" s="136"/>
      <c r="B2" s="136"/>
      <c r="C2" s="136"/>
      <c r="D2" s="255"/>
      <c r="E2" s="136"/>
      <c r="F2" s="1941" t="s">
        <v>80</v>
      </c>
      <c r="G2" s="1941"/>
      <c r="H2" s="1941"/>
    </row>
    <row r="3" spans="1:9" hidden="1" x14ac:dyDescent="0.25">
      <c r="A3" s="136"/>
      <c r="B3" s="136"/>
      <c r="C3" s="136"/>
      <c r="D3" s="255"/>
      <c r="E3" s="136"/>
      <c r="F3" s="702" t="s">
        <v>81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2" t="s">
        <v>82</v>
      </c>
      <c r="B5" s="1942"/>
      <c r="C5" s="1942"/>
      <c r="D5" s="1942"/>
      <c r="E5" s="1942"/>
      <c r="F5" s="1942"/>
      <c r="G5" s="1942"/>
      <c r="H5" s="1942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3" t="str">
        <f>' ССР (нов)'!A6:G6</f>
        <v xml:space="preserve">Перекладка теплового ввода </v>
      </c>
      <c r="B8" s="1943"/>
      <c r="C8" s="1943"/>
      <c r="D8" s="1943"/>
      <c r="E8" s="1943"/>
      <c r="F8" s="1943"/>
      <c r="G8" s="1943"/>
      <c r="H8" s="1943"/>
    </row>
    <row r="9" spans="1:9" ht="35.25" customHeight="1" x14ac:dyDescent="0.25">
      <c r="A9" s="1944" t="str">
        <f>' ССР (нов)'!A7:G7</f>
        <v>г. Москва , ул. Гамалеи д.11к.1</v>
      </c>
      <c r="B9" s="1944"/>
      <c r="C9" s="1944"/>
      <c r="D9" s="1944"/>
      <c r="E9" s="1944"/>
      <c r="F9" s="1944"/>
      <c r="G9" s="1944"/>
      <c r="H9" s="1944"/>
    </row>
    <row r="10" spans="1:9" ht="25.5" customHeight="1" x14ac:dyDescent="0.25">
      <c r="A10" s="1944" t="s">
        <v>627</v>
      </c>
      <c r="B10" s="1944"/>
      <c r="C10" s="1944"/>
      <c r="D10" s="1944"/>
      <c r="E10" s="1944"/>
      <c r="F10" s="1944"/>
      <c r="G10" s="1944"/>
      <c r="H10" s="1944"/>
    </row>
    <row r="11" spans="1:9" ht="25.5" customHeight="1" x14ac:dyDescent="0.25">
      <c r="A11" s="1944" t="s">
        <v>628</v>
      </c>
      <c r="B11" s="1944"/>
      <c r="C11" s="1944"/>
      <c r="D11" s="1944"/>
      <c r="E11" s="1944"/>
      <c r="F11" s="1944"/>
      <c r="G11" s="1944"/>
      <c r="H11" s="1944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38" t="s">
        <v>690</v>
      </c>
      <c r="B13" s="1939"/>
      <c r="C13" s="1939"/>
      <c r="D13" s="1939"/>
      <c r="E13" s="1939"/>
      <c r="F13" s="1939"/>
      <c r="G13" s="1939"/>
      <c r="H13" s="1940"/>
    </row>
    <row r="14" spans="1:9" s="1436" customFormat="1" ht="24.75" thickBot="1" x14ac:dyDescent="0.25">
      <c r="A14" s="310" t="s">
        <v>31</v>
      </c>
      <c r="B14" s="1936" t="s">
        <v>32</v>
      </c>
      <c r="C14" s="1937"/>
      <c r="D14" s="311" t="s">
        <v>33</v>
      </c>
      <c r="E14" s="311" t="s">
        <v>34</v>
      </c>
      <c r="F14" s="312" t="s">
        <v>35</v>
      </c>
      <c r="G14" s="311" t="s">
        <v>0</v>
      </c>
      <c r="H14" s="313" t="s">
        <v>36</v>
      </c>
      <c r="I14" s="1443"/>
    </row>
    <row r="15" spans="1:9" ht="78.75" x14ac:dyDescent="0.25">
      <c r="A15" s="263">
        <v>1</v>
      </c>
      <c r="B15" s="264" t="s">
        <v>83</v>
      </c>
      <c r="C15" s="265" t="s">
        <v>97</v>
      </c>
      <c r="D15" s="266">
        <v>820</v>
      </c>
      <c r="E15" s="267" t="s">
        <v>577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x14ac:dyDescent="0.25">
      <c r="A16" s="263">
        <v>2</v>
      </c>
      <c r="B16" s="264" t="s">
        <v>84</v>
      </c>
      <c r="C16" s="265" t="s">
        <v>97</v>
      </c>
      <c r="D16" s="266">
        <v>1326</v>
      </c>
      <c r="E16" s="267" t="s">
        <v>578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x14ac:dyDescent="0.25">
      <c r="A17" s="263"/>
      <c r="B17" s="271" t="s">
        <v>85</v>
      </c>
      <c r="C17" s="267"/>
      <c r="D17" s="272"/>
      <c r="E17" s="267"/>
      <c r="F17" s="273"/>
      <c r="G17" s="274"/>
      <c r="H17" s="275">
        <f>SUM(H15:H16)</f>
        <v>2146</v>
      </c>
      <c r="I17" s="1444"/>
    </row>
    <row r="18" spans="1:10" ht="31.5" x14ac:dyDescent="0.25">
      <c r="A18" s="263">
        <v>3</v>
      </c>
      <c r="B18" s="264" t="s">
        <v>37</v>
      </c>
      <c r="C18" s="265" t="s">
        <v>97</v>
      </c>
      <c r="D18" s="266">
        <v>484</v>
      </c>
      <c r="E18" s="267" t="s">
        <v>579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44"/>
    </row>
    <row r="19" spans="1:10" ht="78.75" x14ac:dyDescent="0.25">
      <c r="A19" s="277">
        <v>4</v>
      </c>
      <c r="B19" s="278" t="s">
        <v>38</v>
      </c>
      <c r="C19" s="279"/>
      <c r="D19" s="280">
        <v>1214</v>
      </c>
      <c r="E19" s="281" t="s">
        <v>580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44"/>
    </row>
    <row r="20" spans="1:10" ht="31.5" x14ac:dyDescent="0.25">
      <c r="A20" s="277">
        <v>5</v>
      </c>
      <c r="B20" s="278" t="s">
        <v>39</v>
      </c>
      <c r="C20" s="279"/>
      <c r="D20" s="280">
        <v>318</v>
      </c>
      <c r="E20" s="281" t="s">
        <v>581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44"/>
    </row>
    <row r="21" spans="1:10" ht="47.25" x14ac:dyDescent="0.25">
      <c r="A21" s="277">
        <v>6</v>
      </c>
      <c r="B21" s="278" t="s">
        <v>40</v>
      </c>
      <c r="C21" s="279"/>
      <c r="D21" s="280">
        <v>318</v>
      </c>
      <c r="E21" s="281" t="s">
        <v>582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44"/>
    </row>
    <row r="22" spans="1:10" ht="94.5" x14ac:dyDescent="0.25">
      <c r="A22" s="282">
        <v>7</v>
      </c>
      <c r="B22" s="1352" t="s">
        <v>572</v>
      </c>
      <c r="C22" s="284" t="s">
        <v>41</v>
      </c>
      <c r="D22" s="285">
        <v>122</v>
      </c>
      <c r="E22" s="1397" t="s">
        <v>583</v>
      </c>
      <c r="F22" s="287">
        <f>Т.с.!C78/1000</f>
        <v>1.7000000000000001E-2</v>
      </c>
      <c r="G22" s="266">
        <f>D22</f>
        <v>122</v>
      </c>
      <c r="H22" s="276">
        <f>G22</f>
        <v>122</v>
      </c>
      <c r="I22" s="1444"/>
    </row>
    <row r="23" spans="1:10" ht="31.5" x14ac:dyDescent="0.25">
      <c r="A23" s="282">
        <v>8</v>
      </c>
      <c r="B23" s="283" t="s">
        <v>86</v>
      </c>
      <c r="C23" s="265" t="s">
        <v>97</v>
      </c>
      <c r="D23" s="285">
        <v>1241</v>
      </c>
      <c r="E23" s="1397" t="s">
        <v>584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44"/>
    </row>
    <row r="24" spans="1:10" ht="32.25" customHeight="1" x14ac:dyDescent="0.25">
      <c r="A24" s="282">
        <v>9</v>
      </c>
      <c r="B24" s="1354" t="s">
        <v>87</v>
      </c>
      <c r="C24" s="1355" t="s">
        <v>586</v>
      </c>
      <c r="D24" s="1356">
        <v>1027</v>
      </c>
      <c r="E24" s="1357" t="s">
        <v>585</v>
      </c>
      <c r="F24" s="1358">
        <v>1</v>
      </c>
      <c r="G24" s="1388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53"/>
      <c r="B25" s="1367" t="s">
        <v>587</v>
      </c>
      <c r="C25" s="1362"/>
      <c r="D25" s="1363"/>
      <c r="E25" s="1364"/>
      <c r="F25" s="1365"/>
      <c r="G25" s="1366"/>
      <c r="H25" s="269"/>
    </row>
    <row r="26" spans="1:10" ht="67.5" customHeight="1" x14ac:dyDescent="0.25">
      <c r="A26" s="277">
        <v>10</v>
      </c>
      <c r="B26" s="283" t="s">
        <v>88</v>
      </c>
      <c r="C26" s="1359" t="s">
        <v>589</v>
      </c>
      <c r="D26" s="285">
        <v>1222</v>
      </c>
      <c r="E26" s="1397" t="s">
        <v>588</v>
      </c>
      <c r="F26" s="1360">
        <v>1</v>
      </c>
      <c r="G26" s="1389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120</v>
      </c>
      <c r="C27" s="292" t="s">
        <v>590</v>
      </c>
      <c r="D27" s="289">
        <v>335</v>
      </c>
      <c r="E27" s="281" t="s">
        <v>591</v>
      </c>
      <c r="F27" s="290"/>
      <c r="G27" s="290"/>
      <c r="H27" s="269"/>
    </row>
    <row r="28" spans="1:10" ht="39.75" customHeight="1" x14ac:dyDescent="0.25">
      <c r="A28" s="1385" t="s">
        <v>89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5" t="s">
        <v>99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6" t="s">
        <v>100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9" t="s">
        <v>90</v>
      </c>
      <c r="C31" s="291"/>
      <c r="D31" s="295"/>
      <c r="E31" s="291"/>
      <c r="F31" s="293"/>
      <c r="G31" s="1378">
        <f>SUM(H28:H30)</f>
        <v>20100</v>
      </c>
      <c r="H31" s="275"/>
      <c r="I31" s="1444"/>
      <c r="J31" s="1437"/>
    </row>
    <row r="32" spans="1:10" ht="27.75" customHeight="1" x14ac:dyDescent="0.25">
      <c r="A32" s="263">
        <v>12</v>
      </c>
      <c r="B32" s="278" t="s">
        <v>119</v>
      </c>
      <c r="C32" s="296">
        <v>0.3</v>
      </c>
      <c r="D32" s="266"/>
      <c r="E32" s="267" t="s">
        <v>592</v>
      </c>
      <c r="F32" s="268"/>
      <c r="G32" s="297" t="str">
        <f>CONCATENATE(G31," * ",C32)</f>
        <v>20100 * 0,3</v>
      </c>
      <c r="H32" s="276">
        <f>ROUND(G31*C32,2)</f>
        <v>6030</v>
      </c>
      <c r="I32" s="1444"/>
      <c r="J32" s="1437"/>
    </row>
    <row r="33" spans="1:11" ht="36" customHeight="1" x14ac:dyDescent="0.25">
      <c r="A33" s="263">
        <v>13</v>
      </c>
      <c r="B33" s="278" t="s">
        <v>91</v>
      </c>
      <c r="C33" s="296">
        <v>0.14000000000000001</v>
      </c>
      <c r="D33" s="266"/>
      <c r="E33" s="267" t="s">
        <v>593</v>
      </c>
      <c r="F33" s="268"/>
      <c r="G33" s="297" t="str">
        <f>CONCATENATE(G31," * ",C33)</f>
        <v>20100 * 0,14</v>
      </c>
      <c r="H33" s="276">
        <f>ROUND(G31*C33,2)</f>
        <v>2814</v>
      </c>
      <c r="I33" s="1444"/>
      <c r="J33" s="1437"/>
    </row>
    <row r="34" spans="1:11" ht="30" customHeight="1" x14ac:dyDescent="0.25">
      <c r="A34" s="268">
        <v>14</v>
      </c>
      <c r="B34" s="278" t="s">
        <v>92</v>
      </c>
      <c r="C34" s="296">
        <v>0.14000000000000001</v>
      </c>
      <c r="D34" s="266"/>
      <c r="E34" s="267" t="s">
        <v>594</v>
      </c>
      <c r="F34" s="268"/>
      <c r="G34" s="297" t="str">
        <f>CONCATENATE(G31," * ",C34)</f>
        <v>20100 * 0,14</v>
      </c>
      <c r="H34" s="1374">
        <f>ROUND(G31*C34,2)</f>
        <v>2814</v>
      </c>
    </row>
    <row r="35" spans="1:11" ht="53.25" hidden="1" customHeight="1" x14ac:dyDescent="0.25">
      <c r="A35" s="1390">
        <v>15</v>
      </c>
      <c r="B35" s="1431" t="s">
        <v>93</v>
      </c>
      <c r="C35" s="1432" t="s">
        <v>596</v>
      </c>
      <c r="D35" s="1433">
        <v>653</v>
      </c>
      <c r="E35" s="1434" t="s">
        <v>595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customHeight="1" x14ac:dyDescent="0.25">
      <c r="A36" s="277">
        <v>17</v>
      </c>
      <c r="B36" s="278" t="s">
        <v>597</v>
      </c>
      <c r="C36" s="290" t="s">
        <v>574</v>
      </c>
      <c r="D36" s="289">
        <v>932</v>
      </c>
      <c r="E36" s="281" t="s">
        <v>598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42"/>
    </row>
    <row r="37" spans="1:11" s="58" customFormat="1" ht="63" x14ac:dyDescent="0.25">
      <c r="A37" s="277">
        <v>16</v>
      </c>
      <c r="B37" s="278" t="s">
        <v>42</v>
      </c>
      <c r="C37" s="1375">
        <v>0.38</v>
      </c>
      <c r="D37" s="289"/>
      <c r="E37" s="281" t="s">
        <v>599</v>
      </c>
      <c r="F37" s="290"/>
      <c r="G37" s="1376" t="str">
        <f>CONCATENATE(H36,"*",C37)</f>
        <v>932*0,38</v>
      </c>
      <c r="H37" s="276">
        <f>ROUND(H36*C37,2)</f>
        <v>354.16</v>
      </c>
      <c r="I37" s="1441"/>
    </row>
    <row r="38" spans="1:11" ht="84.75" customHeight="1" x14ac:dyDescent="0.25">
      <c r="A38" s="263">
        <v>17</v>
      </c>
      <c r="B38" s="278" t="s">
        <v>94</v>
      </c>
      <c r="C38" s="268" t="s">
        <v>95</v>
      </c>
      <c r="D38" s="266">
        <v>212</v>
      </c>
      <c r="E38" s="267" t="s">
        <v>600</v>
      </c>
      <c r="F38" s="1456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9" t="s">
        <v>43</v>
      </c>
      <c r="C39" s="1388" t="s">
        <v>95</v>
      </c>
      <c r="D39" s="1370">
        <v>850</v>
      </c>
      <c r="E39" s="300" t="s">
        <v>601</v>
      </c>
      <c r="F39" s="1457">
        <f>F38</f>
        <v>4</v>
      </c>
      <c r="G39" s="1388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9" t="s">
        <v>641</v>
      </c>
      <c r="C40" s="1448">
        <v>0.4</v>
      </c>
      <c r="D40" s="1449"/>
      <c r="E40" s="300" t="s">
        <v>642</v>
      </c>
      <c r="F40" s="1450"/>
      <c r="G40" s="1451" t="str">
        <f>CONCATENATE(H39,"*",C40)</f>
        <v>3400*0,4</v>
      </c>
      <c r="H40" s="1458">
        <f>ROUND((H38+H39)*C40,2)</f>
        <v>1699.2</v>
      </c>
      <c r="I40" s="1442"/>
    </row>
    <row r="41" spans="1:11" ht="24.75" customHeight="1" x14ac:dyDescent="0.25">
      <c r="A41" s="1368"/>
      <c r="B41" s="1380" t="s">
        <v>602</v>
      </c>
      <c r="C41" s="1373"/>
      <c r="D41" s="1372"/>
      <c r="E41" s="1362"/>
      <c r="F41" s="1373"/>
      <c r="G41" s="1366"/>
      <c r="H41" s="269"/>
    </row>
    <row r="42" spans="1:11" s="58" customFormat="1" ht="63.75" customHeight="1" x14ac:dyDescent="0.25">
      <c r="A42" s="277">
        <v>20</v>
      </c>
      <c r="B42" s="278" t="s">
        <v>603</v>
      </c>
      <c r="C42" s="290" t="s">
        <v>604</v>
      </c>
      <c r="D42" s="1459">
        <v>729</v>
      </c>
      <c r="E42" s="281" t="s">
        <v>605</v>
      </c>
      <c r="F42" s="1460">
        <v>1</v>
      </c>
      <c r="G42" s="290" t="str">
        <f>CONCATENATE(D42,"*",F42)</f>
        <v>729*1</v>
      </c>
      <c r="H42" s="276">
        <f>ROUND(D42*F42,2)</f>
        <v>729</v>
      </c>
      <c r="I42" s="1442"/>
    </row>
    <row r="43" spans="1:11" s="58" customFormat="1" ht="47.25" x14ac:dyDescent="0.25">
      <c r="A43" s="277">
        <v>21</v>
      </c>
      <c r="B43" s="1369" t="s">
        <v>607</v>
      </c>
      <c r="C43" s="1448">
        <v>0.25</v>
      </c>
      <c r="D43" s="1449"/>
      <c r="E43" s="1422" t="s">
        <v>606</v>
      </c>
      <c r="F43" s="1450"/>
      <c r="G43" s="1451" t="str">
        <f>CONCATENATE(H42,"*",C43)</f>
        <v>729*0,25</v>
      </c>
      <c r="H43" s="276">
        <f>ROUND(H42*C43,2)</f>
        <v>182.25</v>
      </c>
      <c r="I43" s="1442"/>
    </row>
    <row r="44" spans="1:11" s="58" customFormat="1" ht="27.75" customHeight="1" x14ac:dyDescent="0.25">
      <c r="A44" s="1381"/>
      <c r="B44" s="1380" t="s">
        <v>608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55</v>
      </c>
      <c r="C45" s="1400"/>
      <c r="D45" s="1401"/>
      <c r="E45" s="1402"/>
      <c r="F45" s="1403"/>
      <c r="G45" s="1404"/>
      <c r="H45" s="1393"/>
      <c r="I45" s="1442" t="s">
        <v>624</v>
      </c>
    </row>
    <row r="46" spans="1:11" ht="47.25" customHeight="1" x14ac:dyDescent="0.25">
      <c r="A46" s="1951">
        <v>22</v>
      </c>
      <c r="B46" s="1949" t="s">
        <v>611</v>
      </c>
      <c r="C46" s="1947" t="s">
        <v>573</v>
      </c>
      <c r="D46" s="1945">
        <v>410</v>
      </c>
      <c r="E46" s="300" t="s">
        <v>617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614</v>
      </c>
      <c r="J46" s="1438" t="s">
        <v>616</v>
      </c>
      <c r="K46" s="1438" t="s">
        <v>615</v>
      </c>
    </row>
    <row r="47" spans="1:11" ht="31.5" x14ac:dyDescent="0.25">
      <c r="A47" s="1952"/>
      <c r="B47" s="1950"/>
      <c r="C47" s="1948"/>
      <c r="D47" s="1946"/>
      <c r="E47" s="1371" t="s">
        <v>613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576</v>
      </c>
      <c r="C48" s="1388" t="s">
        <v>575</v>
      </c>
      <c r="D48" s="1387">
        <v>455</v>
      </c>
      <c r="E48" s="300" t="s">
        <v>609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643</v>
      </c>
      <c r="C49" s="1423" t="s">
        <v>575</v>
      </c>
      <c r="D49" s="1424">
        <v>410</v>
      </c>
      <c r="E49" s="300" t="s">
        <v>644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647</v>
      </c>
      <c r="C50" s="1388" t="s">
        <v>575</v>
      </c>
      <c r="D50" s="1387">
        <v>1860</v>
      </c>
      <c r="E50" s="300" t="s">
        <v>610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51">
        <v>25</v>
      </c>
      <c r="B51" s="1949" t="s">
        <v>113</v>
      </c>
      <c r="C51" s="1947" t="s">
        <v>573</v>
      </c>
      <c r="D51" s="1945">
        <v>1648</v>
      </c>
      <c r="E51" s="300" t="s">
        <v>612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52"/>
      <c r="B52" s="1950"/>
      <c r="C52" s="1948"/>
      <c r="D52" s="1946"/>
      <c r="E52" s="1371" t="s">
        <v>613</v>
      </c>
      <c r="F52" s="1389">
        <f>F47</f>
        <v>1.1000000000000001</v>
      </c>
      <c r="G52" s="1389"/>
      <c r="H52" s="1391"/>
    </row>
    <row r="53" spans="1:11" ht="42.75" customHeight="1" x14ac:dyDescent="0.25">
      <c r="A53" s="1951">
        <v>26</v>
      </c>
      <c r="B53" s="1949" t="s">
        <v>618</v>
      </c>
      <c r="C53" s="1947" t="s">
        <v>573</v>
      </c>
      <c r="D53" s="1945">
        <v>1757</v>
      </c>
      <c r="E53" s="300" t="s">
        <v>619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52"/>
      <c r="B54" s="1950"/>
      <c r="C54" s="1948"/>
      <c r="D54" s="1946"/>
      <c r="E54" s="1371" t="s">
        <v>613</v>
      </c>
      <c r="F54" s="1389">
        <f>F47</f>
        <v>1.1000000000000001</v>
      </c>
      <c r="G54" s="1389"/>
      <c r="H54" s="1391"/>
    </row>
    <row r="55" spans="1:11" ht="42.75" customHeight="1" x14ac:dyDescent="0.25">
      <c r="A55" s="1951">
        <v>27</v>
      </c>
      <c r="B55" s="1949" t="s">
        <v>114</v>
      </c>
      <c r="C55" s="1947" t="s">
        <v>573</v>
      </c>
      <c r="D55" s="1945">
        <v>439</v>
      </c>
      <c r="E55" s="300" t="s">
        <v>620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52"/>
      <c r="B56" s="1950"/>
      <c r="C56" s="1948"/>
      <c r="D56" s="1946"/>
      <c r="E56" s="1371" t="s">
        <v>613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622</v>
      </c>
      <c r="C57" s="1400"/>
      <c r="D57" s="1401"/>
      <c r="E57" s="1402"/>
      <c r="F57" s="1403"/>
      <c r="G57" s="1404"/>
      <c r="H57" s="1393"/>
      <c r="I57" s="1442" t="s">
        <v>624</v>
      </c>
    </row>
    <row r="58" spans="1:11" ht="47.25" hidden="1" customHeight="1" x14ac:dyDescent="0.25">
      <c r="A58" s="1951">
        <v>28</v>
      </c>
      <c r="B58" s="1949" t="s">
        <v>611</v>
      </c>
      <c r="C58" s="1947" t="s">
        <v>573</v>
      </c>
      <c r="D58" s="1945">
        <v>410</v>
      </c>
      <c r="E58" s="300" t="s">
        <v>617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614</v>
      </c>
      <c r="J58" s="1438" t="s">
        <v>616</v>
      </c>
      <c r="K58" s="1438" t="s">
        <v>615</v>
      </c>
    </row>
    <row r="59" spans="1:11" ht="31.5" hidden="1" x14ac:dyDescent="0.25">
      <c r="A59" s="1952"/>
      <c r="B59" s="1950"/>
      <c r="C59" s="1948"/>
      <c r="D59" s="1946"/>
      <c r="E59" s="1371" t="s">
        <v>613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576</v>
      </c>
      <c r="C60" s="1388" t="s">
        <v>575</v>
      </c>
      <c r="D60" s="1387">
        <v>455</v>
      </c>
      <c r="E60" s="300" t="s">
        <v>609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643</v>
      </c>
      <c r="C61" s="1423" t="s">
        <v>575</v>
      </c>
      <c r="D61" s="1424">
        <v>410</v>
      </c>
      <c r="E61" s="300" t="s">
        <v>644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647</v>
      </c>
      <c r="C62" s="1388" t="s">
        <v>575</v>
      </c>
      <c r="D62" s="1387">
        <v>1860</v>
      </c>
      <c r="E62" s="300" t="s">
        <v>610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51">
        <v>31</v>
      </c>
      <c r="B63" s="1949" t="s">
        <v>113</v>
      </c>
      <c r="C63" s="1947" t="s">
        <v>573</v>
      </c>
      <c r="D63" s="1945">
        <v>1648</v>
      </c>
      <c r="E63" s="300" t="s">
        <v>612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52"/>
      <c r="B64" s="1950"/>
      <c r="C64" s="1948"/>
      <c r="D64" s="1946"/>
      <c r="E64" s="1371" t="s">
        <v>613</v>
      </c>
      <c r="F64" s="1389">
        <f>F59</f>
        <v>1</v>
      </c>
      <c r="G64" s="1389"/>
      <c r="H64" s="1462"/>
    </row>
    <row r="65" spans="1:11" ht="42.75" hidden="1" customHeight="1" x14ac:dyDescent="0.25">
      <c r="A65" s="1951">
        <v>32</v>
      </c>
      <c r="B65" s="1949" t="s">
        <v>618</v>
      </c>
      <c r="C65" s="1947" t="s">
        <v>573</v>
      </c>
      <c r="D65" s="1945">
        <v>1757</v>
      </c>
      <c r="E65" s="300" t="s">
        <v>619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52"/>
      <c r="B66" s="1950"/>
      <c r="C66" s="1948"/>
      <c r="D66" s="1946"/>
      <c r="E66" s="1371" t="s">
        <v>613</v>
      </c>
      <c r="F66" s="1389">
        <f>F59</f>
        <v>1</v>
      </c>
      <c r="G66" s="1389"/>
      <c r="H66" s="1391"/>
    </row>
    <row r="67" spans="1:11" ht="39.75" hidden="1" customHeight="1" x14ac:dyDescent="0.25">
      <c r="A67" s="1951">
        <v>33</v>
      </c>
      <c r="B67" s="1949" t="s">
        <v>114</v>
      </c>
      <c r="C67" s="1947" t="s">
        <v>573</v>
      </c>
      <c r="D67" s="1945">
        <v>439</v>
      </c>
      <c r="E67" s="300" t="s">
        <v>620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52"/>
      <c r="B68" s="1950"/>
      <c r="C68" s="1948"/>
      <c r="D68" s="1946"/>
      <c r="E68" s="1371" t="s">
        <v>613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621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44</v>
      </c>
      <c r="C70" s="301">
        <v>9.7000000000000003E-3</v>
      </c>
      <c r="D70" s="302"/>
      <c r="E70" s="267" t="s">
        <v>623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96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45</v>
      </c>
      <c r="C72" s="301">
        <v>1.11E-2</v>
      </c>
      <c r="D72" s="302"/>
      <c r="E72" s="267" t="s">
        <v>625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637</v>
      </c>
      <c r="C73" s="301">
        <v>2.5700000000000001E-2</v>
      </c>
      <c r="D73" s="302"/>
      <c r="E73" s="267" t="s">
        <v>626</v>
      </c>
      <c r="F73" s="303">
        <v>5</v>
      </c>
      <c r="G73" s="303" t="str">
        <f>CONCATENATE(H71,"*",C73,)</f>
        <v>68334,49*0,0257</v>
      </c>
      <c r="H73" s="276">
        <f>ROUND(H71*C73,2)</f>
        <v>1756.2</v>
      </c>
    </row>
    <row r="74" spans="1:11" s="1440" customFormat="1" ht="43.5" customHeight="1" thickBot="1" x14ac:dyDescent="0.3">
      <c r="A74" s="1411"/>
      <c r="B74" s="1412" t="s">
        <v>46</v>
      </c>
      <c r="C74" s="1412"/>
      <c r="D74" s="1413"/>
      <c r="E74" s="1412"/>
      <c r="F74" s="1414"/>
      <c r="G74" s="1414" t="str">
        <f>CONCATENATE(H71," + ",H72,"+",H73," + ",H17)</f>
        <v>68334,49 + 758,51+1756,2 + 2146</v>
      </c>
      <c r="H74" s="316">
        <f>ROUND(H71+H72+H73+H17,2)</f>
        <v>72995.199999999997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A65:A66"/>
    <mergeCell ref="B65:B66"/>
    <mergeCell ref="C65:C66"/>
    <mergeCell ref="D65:D66"/>
    <mergeCell ref="A67:A68"/>
    <mergeCell ref="B67:B68"/>
    <mergeCell ref="C67:C68"/>
    <mergeCell ref="D67:D68"/>
    <mergeCell ref="A58:A59"/>
    <mergeCell ref="B58:B59"/>
    <mergeCell ref="C58:C59"/>
    <mergeCell ref="D58:D59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D51:D52"/>
    <mergeCell ref="C51:C52"/>
    <mergeCell ref="B51:B52"/>
    <mergeCell ref="A51:A52"/>
    <mergeCell ref="D46:D47"/>
    <mergeCell ref="C46:C47"/>
    <mergeCell ref="B46:B47"/>
    <mergeCell ref="A46:A47"/>
    <mergeCell ref="B14:C14"/>
    <mergeCell ref="A13:H13"/>
    <mergeCell ref="F1:H1"/>
    <mergeCell ref="F2:H2"/>
    <mergeCell ref="A5:H5"/>
    <mergeCell ref="A8:H8"/>
    <mergeCell ref="A10:H10"/>
    <mergeCell ref="A11:H11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1" t="s">
        <v>48</v>
      </c>
      <c r="G1" s="1941"/>
      <c r="H1" s="1941"/>
    </row>
    <row r="2" spans="1:9" ht="15.75" hidden="1" x14ac:dyDescent="0.2">
      <c r="A2" s="136"/>
      <c r="B2" s="136"/>
      <c r="C2" s="136"/>
      <c r="D2" s="255"/>
      <c r="E2" s="136"/>
      <c r="F2" s="1941" t="s">
        <v>80</v>
      </c>
      <c r="G2" s="1941"/>
      <c r="H2" s="1941"/>
    </row>
    <row r="3" spans="1:9" ht="15.75" hidden="1" x14ac:dyDescent="0.2">
      <c r="A3" s="136"/>
      <c r="B3" s="136"/>
      <c r="C3" s="136"/>
      <c r="D3" s="255"/>
      <c r="E3" s="136"/>
      <c r="F3" s="699" t="s">
        <v>81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2" t="s">
        <v>82</v>
      </c>
      <c r="B5" s="1942"/>
      <c r="C5" s="1942"/>
      <c r="D5" s="1942"/>
      <c r="E5" s="1942"/>
      <c r="F5" s="1942"/>
      <c r="G5" s="1942"/>
      <c r="H5" s="1942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3" t="str">
        <f>' ССР (нов)'!A6:G6</f>
        <v xml:space="preserve">Перекладка теплового ввода </v>
      </c>
      <c r="B7" s="1943"/>
      <c r="C7" s="1943"/>
      <c r="D7" s="1943"/>
      <c r="E7" s="1943"/>
      <c r="F7" s="1943"/>
      <c r="G7" s="1943"/>
      <c r="H7" s="1943"/>
    </row>
    <row r="8" spans="1:9" ht="28.5" customHeight="1" x14ac:dyDescent="0.2">
      <c r="A8" s="1944" t="str">
        <f>' ССР (нов)'!A7:G7</f>
        <v>г. Москва , ул. Гамалеи д.11к.1</v>
      </c>
      <c r="B8" s="1944"/>
      <c r="C8" s="1944"/>
      <c r="D8" s="1944"/>
      <c r="E8" s="1944"/>
      <c r="F8" s="1944"/>
      <c r="G8" s="1944"/>
      <c r="H8" s="1944"/>
    </row>
    <row r="9" spans="1:9" ht="25.5" customHeight="1" x14ac:dyDescent="0.2">
      <c r="A9" s="1944" t="s">
        <v>628</v>
      </c>
      <c r="B9" s="1944"/>
      <c r="C9" s="1944"/>
      <c r="D9" s="1944"/>
      <c r="E9" s="1944"/>
      <c r="F9" s="1944"/>
      <c r="G9" s="1944"/>
      <c r="H9" s="1944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3" t="s">
        <v>665</v>
      </c>
      <c r="B11" s="1954"/>
      <c r="C11" s="1954"/>
      <c r="D11" s="1954"/>
      <c r="E11" s="1954"/>
      <c r="F11" s="1954"/>
      <c r="G11" s="1954"/>
      <c r="H11" s="1955"/>
    </row>
    <row r="12" spans="1:9" s="314" customFormat="1" ht="24.75" thickBot="1" x14ac:dyDescent="0.25">
      <c r="A12" s="310" t="s">
        <v>31</v>
      </c>
      <c r="B12" s="1936" t="s">
        <v>32</v>
      </c>
      <c r="C12" s="1937"/>
      <c r="D12" s="311" t="s">
        <v>33</v>
      </c>
      <c r="E12" s="311" t="s">
        <v>34</v>
      </c>
      <c r="F12" s="312" t="s">
        <v>35</v>
      </c>
      <c r="G12" s="311" t="s">
        <v>0</v>
      </c>
      <c r="H12" s="313" t="s">
        <v>36</v>
      </c>
    </row>
    <row r="13" spans="1:9" s="1421" customFormat="1" ht="47.25" x14ac:dyDescent="0.2">
      <c r="A13" s="263">
        <v>1</v>
      </c>
      <c r="B13" s="1419" t="s">
        <v>84</v>
      </c>
      <c r="C13" s="265" t="s">
        <v>97</v>
      </c>
      <c r="D13" s="266">
        <v>1326</v>
      </c>
      <c r="E13" s="267" t="s">
        <v>578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85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572</v>
      </c>
      <c r="C15" s="284" t="s">
        <v>41</v>
      </c>
      <c r="D15" s="285">
        <v>122</v>
      </c>
      <c r="E15" s="286" t="s">
        <v>583</v>
      </c>
      <c r="F15" s="287">
        <f>Т.с.!C78/1000</f>
        <v>1.7000000000000001E-2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608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55</v>
      </c>
      <c r="C17" s="1400"/>
      <c r="D17" s="1401"/>
      <c r="E17" s="1402"/>
      <c r="F17" s="1403"/>
      <c r="G17" s="1404"/>
      <c r="H17" s="1393"/>
      <c r="I17" s="1405" t="s">
        <v>624</v>
      </c>
    </row>
    <row r="18" spans="1:11" ht="39.75" customHeight="1" x14ac:dyDescent="0.2">
      <c r="A18" s="1951">
        <v>3</v>
      </c>
      <c r="B18" s="1949" t="s">
        <v>611</v>
      </c>
      <c r="C18" s="1947" t="s">
        <v>573</v>
      </c>
      <c r="D18" s="1945">
        <v>410</v>
      </c>
      <c r="E18" s="300" t="s">
        <v>617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614</v>
      </c>
      <c r="J18" s="1396" t="s">
        <v>616</v>
      </c>
      <c r="K18" s="1396" t="s">
        <v>615</v>
      </c>
    </row>
    <row r="19" spans="1:11" ht="31.5" x14ac:dyDescent="0.2">
      <c r="A19" s="1952"/>
      <c r="B19" s="1950"/>
      <c r="C19" s="1948"/>
      <c r="D19" s="1946"/>
      <c r="E19" s="1371" t="s">
        <v>613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576</v>
      </c>
      <c r="C20" s="298" t="s">
        <v>575</v>
      </c>
      <c r="D20" s="299">
        <v>455</v>
      </c>
      <c r="E20" s="300" t="s">
        <v>609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643</v>
      </c>
      <c r="C21" s="1423" t="s">
        <v>575</v>
      </c>
      <c r="D21" s="1424">
        <v>410</v>
      </c>
      <c r="E21" s="300" t="s">
        <v>644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640</v>
      </c>
    </row>
    <row r="22" spans="1:11" ht="54.75" customHeight="1" x14ac:dyDescent="0.2">
      <c r="A22" s="263">
        <v>6</v>
      </c>
      <c r="B22" s="278" t="s">
        <v>663</v>
      </c>
      <c r="C22" s="298" t="s">
        <v>575</v>
      </c>
      <c r="D22" s="299">
        <v>1860</v>
      </c>
      <c r="E22" s="300" t="s">
        <v>610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51">
        <v>7</v>
      </c>
      <c r="B23" s="1949" t="s">
        <v>113</v>
      </c>
      <c r="C23" s="1947" t="s">
        <v>573</v>
      </c>
      <c r="D23" s="1945">
        <v>1648</v>
      </c>
      <c r="E23" s="300" t="s">
        <v>612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52"/>
      <c r="B24" s="1950"/>
      <c r="C24" s="1948"/>
      <c r="D24" s="1946"/>
      <c r="E24" s="1371" t="s">
        <v>613</v>
      </c>
      <c r="F24" s="1361">
        <f>F19</f>
        <v>1.1000000000000001</v>
      </c>
      <c r="G24" s="1361"/>
      <c r="H24" s="1391"/>
    </row>
    <row r="25" spans="1:11" ht="42.75" customHeight="1" x14ac:dyDescent="0.2">
      <c r="A25" s="1951">
        <v>8</v>
      </c>
      <c r="B25" s="1949" t="s">
        <v>618</v>
      </c>
      <c r="C25" s="1947" t="s">
        <v>573</v>
      </c>
      <c r="D25" s="1945">
        <v>1757</v>
      </c>
      <c r="E25" s="300" t="s">
        <v>619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52"/>
      <c r="B26" s="1950"/>
      <c r="C26" s="1948"/>
      <c r="D26" s="1946"/>
      <c r="E26" s="1371" t="s">
        <v>613</v>
      </c>
      <c r="F26" s="1361">
        <f>F19</f>
        <v>1.1000000000000001</v>
      </c>
      <c r="G26" s="1361"/>
      <c r="H26" s="1391"/>
    </row>
    <row r="27" spans="1:11" ht="39.75" customHeight="1" x14ac:dyDescent="0.2">
      <c r="A27" s="1951">
        <v>9</v>
      </c>
      <c r="B27" s="1949" t="s">
        <v>114</v>
      </c>
      <c r="C27" s="1947" t="s">
        <v>573</v>
      </c>
      <c r="D27" s="1945">
        <v>439</v>
      </c>
      <c r="E27" s="300" t="s">
        <v>620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52"/>
      <c r="B28" s="1950"/>
      <c r="C28" s="1948"/>
      <c r="D28" s="1946"/>
      <c r="E28" s="1371" t="s">
        <v>613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622</v>
      </c>
      <c r="C29" s="1400"/>
      <c r="D29" s="1401"/>
      <c r="E29" s="1402"/>
      <c r="F29" s="1403"/>
      <c r="G29" s="1404"/>
      <c r="H29" s="1393"/>
      <c r="I29" s="1406" t="s">
        <v>624</v>
      </c>
    </row>
    <row r="30" spans="1:11" s="1528" customFormat="1" ht="39.75" hidden="1" customHeight="1" x14ac:dyDescent="0.2">
      <c r="A30" s="1956">
        <v>10</v>
      </c>
      <c r="B30" s="1958" t="s">
        <v>611</v>
      </c>
      <c r="C30" s="1960" t="s">
        <v>573</v>
      </c>
      <c r="D30" s="1962">
        <v>410</v>
      </c>
      <c r="E30" s="1524" t="s">
        <v>617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614</v>
      </c>
      <c r="J30" s="1527" t="s">
        <v>616</v>
      </c>
      <c r="K30" s="1527" t="s">
        <v>615</v>
      </c>
    </row>
    <row r="31" spans="1:11" s="1528" customFormat="1" ht="31.5" hidden="1" x14ac:dyDescent="0.2">
      <c r="A31" s="1957"/>
      <c r="B31" s="1959"/>
      <c r="C31" s="1961"/>
      <c r="D31" s="1963"/>
      <c r="E31" s="1529" t="s">
        <v>613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643</v>
      </c>
      <c r="C32" s="1463" t="s">
        <v>575</v>
      </c>
      <c r="D32" s="1464">
        <v>410</v>
      </c>
      <c r="E32" s="300" t="s">
        <v>644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640</v>
      </c>
    </row>
    <row r="33" spans="1:11" ht="54.75" customHeight="1" x14ac:dyDescent="0.2">
      <c r="A33" s="263">
        <v>11</v>
      </c>
      <c r="B33" s="278" t="s">
        <v>669</v>
      </c>
      <c r="C33" s="298" t="s">
        <v>575</v>
      </c>
      <c r="D33" s="299">
        <v>1860</v>
      </c>
      <c r="E33" s="300" t="s">
        <v>610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51">
        <v>13</v>
      </c>
      <c r="B34" s="1949" t="s">
        <v>113</v>
      </c>
      <c r="C34" s="1947" t="s">
        <v>573</v>
      </c>
      <c r="D34" s="1945">
        <v>1648</v>
      </c>
      <c r="E34" s="300" t="s">
        <v>612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52"/>
      <c r="B35" s="1950"/>
      <c r="C35" s="1948"/>
      <c r="D35" s="1946"/>
      <c r="E35" s="1371" t="s">
        <v>613</v>
      </c>
      <c r="F35" s="1361">
        <f>F31</f>
        <v>1</v>
      </c>
      <c r="G35" s="1361"/>
      <c r="H35" s="1391"/>
    </row>
    <row r="36" spans="1:11" ht="39.75" hidden="1" customHeight="1" x14ac:dyDescent="0.2">
      <c r="A36" s="1951">
        <v>14</v>
      </c>
      <c r="B36" s="1949" t="s">
        <v>618</v>
      </c>
      <c r="C36" s="1947" t="s">
        <v>573</v>
      </c>
      <c r="D36" s="1945">
        <v>1757</v>
      </c>
      <c r="E36" s="300" t="s">
        <v>619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52"/>
      <c r="B37" s="1950"/>
      <c r="C37" s="1948"/>
      <c r="D37" s="1946"/>
      <c r="E37" s="1371" t="s">
        <v>613</v>
      </c>
      <c r="F37" s="1361">
        <f>F31</f>
        <v>1</v>
      </c>
      <c r="G37" s="1361"/>
      <c r="H37" s="1391"/>
    </row>
    <row r="38" spans="1:11" ht="42.75" hidden="1" customHeight="1" x14ac:dyDescent="0.2">
      <c r="A38" s="1951">
        <v>15</v>
      </c>
      <c r="B38" s="1949" t="s">
        <v>114</v>
      </c>
      <c r="C38" s="1947" t="s">
        <v>573</v>
      </c>
      <c r="D38" s="1945">
        <v>439</v>
      </c>
      <c r="E38" s="300" t="s">
        <v>620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52"/>
      <c r="B39" s="1950"/>
      <c r="C39" s="1948"/>
      <c r="D39" s="1946"/>
      <c r="E39" s="1371" t="s">
        <v>613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621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44</v>
      </c>
      <c r="C41" s="301">
        <v>9.7000000000000003E-3</v>
      </c>
      <c r="D41" s="302"/>
      <c r="E41" s="267" t="s">
        <v>623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96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45</v>
      </c>
      <c r="C43" s="301">
        <v>1.11E-2</v>
      </c>
      <c r="D43" s="302"/>
      <c r="E43" s="267" t="s">
        <v>625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637</v>
      </c>
      <c r="C44" s="301">
        <v>2.5700000000000001E-2</v>
      </c>
      <c r="D44" s="302"/>
      <c r="E44" s="267" t="s">
        <v>626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46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36:A37"/>
    <mergeCell ref="B36:B37"/>
    <mergeCell ref="C36:C37"/>
    <mergeCell ref="D36:D37"/>
    <mergeCell ref="A38:A39"/>
    <mergeCell ref="B38:B39"/>
    <mergeCell ref="C38:C39"/>
    <mergeCell ref="D38:D39"/>
    <mergeCell ref="A30:A31"/>
    <mergeCell ref="B30:B31"/>
    <mergeCell ref="C30:C31"/>
    <mergeCell ref="D30:D31"/>
    <mergeCell ref="A34:A35"/>
    <mergeCell ref="B34:B35"/>
    <mergeCell ref="C34:C35"/>
    <mergeCell ref="D34:D35"/>
    <mergeCell ref="A25:A26"/>
    <mergeCell ref="B25:B26"/>
    <mergeCell ref="C25:C26"/>
    <mergeCell ref="D25:D26"/>
    <mergeCell ref="A27:A28"/>
    <mergeCell ref="B27:B28"/>
    <mergeCell ref="C27:C28"/>
    <mergeCell ref="D27:D28"/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2" t="s">
        <v>112</v>
      </c>
      <c r="B3" s="1942"/>
      <c r="C3" s="1942"/>
      <c r="D3" s="1942"/>
      <c r="E3" s="1942"/>
      <c r="F3" s="1942"/>
      <c r="G3" s="1942"/>
      <c r="H3" s="1942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3" t="str">
        <f>' ССР (нов)'!A6:G6</f>
        <v xml:space="preserve">Перекладка теплового ввода </v>
      </c>
      <c r="B5" s="1943"/>
      <c r="C5" s="1943"/>
      <c r="D5" s="1943"/>
      <c r="E5" s="1943"/>
      <c r="F5" s="1943"/>
      <c r="G5" s="1943"/>
      <c r="H5" s="1943"/>
      <c r="K5" s="318" t="s">
        <v>153</v>
      </c>
      <c r="L5" s="318" t="s">
        <v>154</v>
      </c>
    </row>
    <row r="6" spans="1:12" ht="22.5" customHeight="1" x14ac:dyDescent="0.2">
      <c r="A6" s="1944" t="str">
        <f>' ССР (нов)'!A7:G7</f>
        <v>г. Москва , ул. Гамалеи д.11к.1</v>
      </c>
      <c r="B6" s="1944"/>
      <c r="C6" s="1944"/>
      <c r="D6" s="1944"/>
      <c r="E6" s="1944"/>
      <c r="F6" s="1944"/>
      <c r="G6" s="1944"/>
      <c r="H6" s="1944"/>
    </row>
    <row r="7" spans="1:12" ht="23.25" customHeight="1" x14ac:dyDescent="0.2">
      <c r="A7" s="1942" t="s">
        <v>74</v>
      </c>
      <c r="B7" s="1942"/>
      <c r="C7" s="1942"/>
      <c r="D7" s="1942"/>
      <c r="E7" s="1942"/>
      <c r="F7" s="1942"/>
      <c r="G7" s="1942"/>
      <c r="H7" s="1942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4" t="s">
        <v>59</v>
      </c>
      <c r="B9" s="1964"/>
      <c r="C9" s="1964"/>
      <c r="D9" s="1964"/>
      <c r="E9" s="1964"/>
      <c r="F9" s="1964"/>
      <c r="G9" s="1964"/>
      <c r="H9" s="1964"/>
      <c r="K9" s="318" t="s">
        <v>155</v>
      </c>
      <c r="L9" s="318">
        <v>2500</v>
      </c>
    </row>
    <row r="10" spans="1:12" x14ac:dyDescent="0.2">
      <c r="A10" s="1964" t="s">
        <v>177</v>
      </c>
      <c r="B10" s="1964"/>
      <c r="C10" s="1964"/>
      <c r="D10" s="1964"/>
      <c r="E10" s="1964"/>
      <c r="F10" s="1964"/>
      <c r="G10" s="1964"/>
      <c r="H10" s="1964"/>
      <c r="K10" s="318" t="s">
        <v>156</v>
      </c>
      <c r="L10" s="318">
        <v>4500</v>
      </c>
    </row>
    <row r="11" spans="1:12" x14ac:dyDescent="0.2">
      <c r="A11" s="1964" t="s">
        <v>60</v>
      </c>
      <c r="B11" s="1964"/>
      <c r="C11" s="1964"/>
      <c r="D11" s="1964"/>
      <c r="E11" s="1964"/>
      <c r="F11" s="1964"/>
      <c r="G11" s="1964"/>
      <c r="H11" s="1964"/>
      <c r="K11" s="318" t="s">
        <v>157</v>
      </c>
      <c r="L11" s="318">
        <v>8000</v>
      </c>
    </row>
    <row r="12" spans="1:12" x14ac:dyDescent="0.2">
      <c r="A12" s="1964" t="s">
        <v>178</v>
      </c>
      <c r="B12" s="1964"/>
      <c r="C12" s="1964"/>
      <c r="D12" s="1964"/>
      <c r="E12" s="1964"/>
      <c r="F12" s="1964"/>
      <c r="G12" s="1964"/>
      <c r="H12" s="1964"/>
      <c r="K12" s="318" t="s">
        <v>158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159</v>
      </c>
      <c r="L13" s="318">
        <v>23000</v>
      </c>
    </row>
    <row r="14" spans="1:12" ht="24" x14ac:dyDescent="0.2">
      <c r="A14" s="331" t="s">
        <v>17</v>
      </c>
      <c r="B14" s="1966" t="s">
        <v>3</v>
      </c>
      <c r="C14" s="1966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160</v>
      </c>
      <c r="L14" s="318">
        <v>34000</v>
      </c>
    </row>
    <row r="15" spans="1:12" ht="60.75" customHeight="1" x14ac:dyDescent="0.2">
      <c r="A15" s="319"/>
      <c r="B15" s="1967" t="s">
        <v>103</v>
      </c>
      <c r="C15" s="1967"/>
      <c r="D15" s="320">
        <f>Т.с.!H66</f>
        <v>258244</v>
      </c>
      <c r="E15" s="321"/>
      <c r="F15" s="322"/>
      <c r="G15" s="124" t="str">
        <f>CONCATENATE(D15,"*",0.4)</f>
        <v>258244*0,4</v>
      </c>
      <c r="H15" s="323">
        <f>ROUND(D15*0.4,2)</f>
        <v>103297.60000000001</v>
      </c>
      <c r="K15" s="318" t="s">
        <v>161</v>
      </c>
      <c r="L15" s="318">
        <v>42000</v>
      </c>
    </row>
    <row r="16" spans="1:12" ht="69" customHeight="1" x14ac:dyDescent="0.2">
      <c r="A16" s="324"/>
      <c r="B16" s="1968" t="s">
        <v>142</v>
      </c>
      <c r="C16" s="1968"/>
      <c r="D16" s="325">
        <v>4500</v>
      </c>
      <c r="E16" s="322" t="s">
        <v>179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162</v>
      </c>
      <c r="L16" s="318">
        <v>55120</v>
      </c>
    </row>
    <row r="17" spans="1:12" s="253" customFormat="1" ht="33.75" customHeight="1" x14ac:dyDescent="0.2">
      <c r="A17" s="324"/>
      <c r="B17" s="1965" t="s">
        <v>630</v>
      </c>
      <c r="C17" s="1965"/>
      <c r="D17" s="1407"/>
      <c r="E17" s="329"/>
      <c r="F17" s="1408"/>
      <c r="G17" s="1409"/>
      <c r="H17" s="1410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B17:C17"/>
    <mergeCell ref="A11:H11"/>
    <mergeCell ref="A12:H12"/>
    <mergeCell ref="B14:C14"/>
    <mergeCell ref="B15:C15"/>
    <mergeCell ref="B16:C16"/>
    <mergeCell ref="A10:H10"/>
    <mergeCell ref="A3:H3"/>
    <mergeCell ref="A5:H5"/>
    <mergeCell ref="A7:H7"/>
    <mergeCell ref="A9:H9"/>
    <mergeCell ref="A6:H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="90" zoomScaleNormal="100" zoomScaleSheetLayoutView="90" workbookViewId="0">
      <selection activeCell="J26" sqref="J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67" t="s">
        <v>211</v>
      </c>
      <c r="B6" s="1867"/>
      <c r="C6" s="1867"/>
      <c r="D6" s="1867"/>
      <c r="E6" s="1867"/>
      <c r="F6" s="1867"/>
      <c r="G6" s="1867"/>
      <c r="H6" s="1867"/>
    </row>
    <row r="7" spans="1:9" ht="45" customHeight="1" x14ac:dyDescent="0.2">
      <c r="A7" s="1868" t="str">
        <f>' ССР (нов)'!A6:G6</f>
        <v xml:space="preserve">Перекладка теплового ввода </v>
      </c>
      <c r="B7" s="1868"/>
      <c r="C7" s="1868"/>
      <c r="D7" s="1868"/>
      <c r="E7" s="1868"/>
      <c r="F7" s="1868"/>
      <c r="G7" s="1868"/>
      <c r="H7" s="1868"/>
    </row>
    <row r="8" spans="1:9" ht="30.75" customHeight="1" x14ac:dyDescent="0.2">
      <c r="A8" s="1868" t="str">
        <f>' ССР (нов)'!A7:G7</f>
        <v>г. Москва , ул. Гамалеи д.11к.1</v>
      </c>
      <c r="B8" s="1868"/>
      <c r="C8" s="1868"/>
      <c r="D8" s="1868"/>
      <c r="E8" s="1868"/>
      <c r="F8" s="1868"/>
      <c r="G8" s="1868"/>
      <c r="H8" s="1868"/>
    </row>
    <row r="9" spans="1:9" x14ac:dyDescent="0.2">
      <c r="A9" s="1868" t="s">
        <v>123</v>
      </c>
      <c r="B9" s="1868"/>
      <c r="C9" s="1868"/>
      <c r="D9" s="1868"/>
      <c r="E9" s="1868"/>
      <c r="F9" s="1868"/>
      <c r="G9" s="1868"/>
      <c r="H9" s="1868"/>
    </row>
    <row r="10" spans="1:9" ht="24" customHeight="1" x14ac:dyDescent="0.2">
      <c r="A10" s="1869" t="s">
        <v>124</v>
      </c>
      <c r="B10" s="1869"/>
      <c r="C10" s="1869"/>
      <c r="D10" s="1869"/>
      <c r="E10" s="1869"/>
      <c r="F10" s="1869"/>
      <c r="G10" s="1869"/>
      <c r="H10" s="1869"/>
    </row>
    <row r="11" spans="1:9" x14ac:dyDescent="0.2">
      <c r="A11" s="1867" t="s">
        <v>125</v>
      </c>
      <c r="B11" s="1867"/>
      <c r="C11" s="1867"/>
      <c r="D11" s="1867"/>
      <c r="E11" s="1867"/>
      <c r="F11" s="1867"/>
      <c r="G11" s="1867"/>
      <c r="H11" s="1867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19</v>
      </c>
      <c r="B13" s="1870" t="s">
        <v>3</v>
      </c>
      <c r="C13" s="1871"/>
      <c r="D13" s="163" t="s">
        <v>679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750</v>
      </c>
    </row>
    <row r="14" spans="1:9" x14ac:dyDescent="0.2">
      <c r="A14" s="1872">
        <v>1</v>
      </c>
      <c r="B14" s="1975" t="s">
        <v>126</v>
      </c>
      <c r="C14" s="1971">
        <v>1</v>
      </c>
      <c r="D14" s="1977">
        <f>C16</f>
        <v>86460</v>
      </c>
      <c r="E14" s="1979" t="s">
        <v>180</v>
      </c>
      <c r="F14" s="1971">
        <v>1.2</v>
      </c>
      <c r="G14" s="1971" t="str">
        <f>CONCATENATE(D14,"*",F14,"*",F16)</f>
        <v>86460*1,2*0,3</v>
      </c>
      <c r="H14" s="1973">
        <f>ROUND(D14*F14*F16,2)</f>
        <v>31125.599999999999</v>
      </c>
    </row>
    <row r="15" spans="1:9" ht="78" customHeight="1" x14ac:dyDescent="0.2">
      <c r="A15" s="1873"/>
      <c r="B15" s="1976"/>
      <c r="C15" s="1972"/>
      <c r="D15" s="1978"/>
      <c r="E15" s="1980"/>
      <c r="F15" s="1972"/>
      <c r="G15" s="1972"/>
      <c r="H15" s="1974"/>
      <c r="I15" s="337">
        <f>H14*0.58</f>
        <v>18052.847999999998</v>
      </c>
    </row>
    <row r="16" spans="1:9" ht="78.75" x14ac:dyDescent="0.2">
      <c r="A16" s="1873"/>
      <c r="B16" s="90" t="s">
        <v>127</v>
      </c>
      <c r="C16" s="90">
        <v>86460</v>
      </c>
      <c r="D16" s="100"/>
      <c r="E16" s="100" t="s">
        <v>181</v>
      </c>
      <c r="F16" s="110">
        <v>0.3</v>
      </c>
      <c r="G16" s="348"/>
      <c r="H16" s="341"/>
    </row>
    <row r="17" spans="1:9" x14ac:dyDescent="0.2">
      <c r="A17" s="1873"/>
      <c r="B17" s="153" t="s">
        <v>12</v>
      </c>
      <c r="C17" s="1650"/>
      <c r="D17" s="1650"/>
      <c r="E17" s="1650"/>
      <c r="F17" s="1651"/>
      <c r="G17" s="348"/>
      <c r="H17" s="341"/>
    </row>
    <row r="18" spans="1:9" ht="16.5" customHeight="1" thickBot="1" x14ac:dyDescent="0.25">
      <c r="A18" s="1822"/>
      <c r="B18" s="1969" t="s">
        <v>753</v>
      </c>
      <c r="C18" s="1970"/>
      <c r="D18" s="1970"/>
      <c r="E18" s="1970"/>
      <c r="F18" s="1970"/>
      <c r="G18" s="1825">
        <v>0.57999999999999996</v>
      </c>
      <c r="H18" s="1823">
        <f>H14*0.58</f>
        <v>18052.847999999998</v>
      </c>
    </row>
    <row r="19" spans="1:9" x14ac:dyDescent="0.2">
      <c r="A19" s="1872">
        <v>2</v>
      </c>
      <c r="B19" s="1975" t="s">
        <v>128</v>
      </c>
      <c r="C19" s="1971">
        <v>1</v>
      </c>
      <c r="D19" s="1977">
        <f>ROUND(C21+C22*C19,2)</f>
        <v>30603</v>
      </c>
      <c r="E19" s="1979" t="s">
        <v>180</v>
      </c>
      <c r="F19" s="1971">
        <v>1.2</v>
      </c>
      <c r="G19" s="1972" t="str">
        <f>CONCATENATE(D19,"*",F19)</f>
        <v>30603*1,2</v>
      </c>
      <c r="H19" s="1973">
        <f>ROUND(D19*F19,2)</f>
        <v>36723.599999999999</v>
      </c>
    </row>
    <row r="20" spans="1:9" ht="93.75" customHeight="1" x14ac:dyDescent="0.2">
      <c r="A20" s="1873"/>
      <c r="B20" s="1976"/>
      <c r="C20" s="1972"/>
      <c r="D20" s="1978"/>
      <c r="E20" s="1980"/>
      <c r="F20" s="1972"/>
      <c r="G20" s="1972"/>
      <c r="H20" s="1974"/>
      <c r="I20" s="337">
        <f>H19*0.42</f>
        <v>15423.911999999998</v>
      </c>
    </row>
    <row r="21" spans="1:9" ht="37.5" customHeight="1" x14ac:dyDescent="0.2">
      <c r="A21" s="1873"/>
      <c r="B21" s="90" t="s">
        <v>129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3"/>
      <c r="B22" s="153" t="s">
        <v>12</v>
      </c>
      <c r="C22" s="1651">
        <v>4623</v>
      </c>
      <c r="D22" s="1650"/>
      <c r="E22" s="1650"/>
      <c r="F22" s="1651"/>
      <c r="G22" s="348"/>
      <c r="H22" s="341"/>
    </row>
    <row r="23" spans="1:9" ht="16.5" customHeight="1" thickBot="1" x14ac:dyDescent="0.25">
      <c r="A23" s="1824"/>
      <c r="B23" s="1969" t="s">
        <v>753</v>
      </c>
      <c r="C23" s="1970"/>
      <c r="D23" s="1970"/>
      <c r="E23" s="1970"/>
      <c r="F23" s="1970"/>
      <c r="G23" s="1825">
        <v>0.42</v>
      </c>
      <c r="H23" s="1826">
        <f>H19*0.42</f>
        <v>15423.911999999998</v>
      </c>
    </row>
    <row r="24" spans="1:9" ht="24" customHeight="1" thickBot="1" x14ac:dyDescent="0.25">
      <c r="A24" s="132"/>
      <c r="B24" s="133" t="s">
        <v>132</v>
      </c>
      <c r="C24" s="135"/>
      <c r="D24" s="135"/>
      <c r="E24" s="135"/>
      <c r="F24" s="135"/>
      <c r="G24" s="135"/>
      <c r="H24" s="343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50"/>
      <c r="B25" s="1891" t="s">
        <v>130</v>
      </c>
      <c r="C25" s="1891"/>
      <c r="D25" s="1891"/>
      <c r="E25" s="149" t="s">
        <v>182</v>
      </c>
      <c r="F25" s="105">
        <v>1</v>
      </c>
      <c r="G25" s="105" t="str">
        <f>CONCATENATE(H24,"*",F25)</f>
        <v>67849,2*1</v>
      </c>
      <c r="H25" s="343">
        <f>ROUND(H24*F25,2)</f>
        <v>67849.2</v>
      </c>
    </row>
    <row r="26" spans="1:9" ht="27.75" customHeight="1" thickBot="1" x14ac:dyDescent="0.25">
      <c r="A26" s="104"/>
      <c r="B26" s="1891" t="s">
        <v>133</v>
      </c>
      <c r="C26" s="1891"/>
      <c r="D26" s="1891"/>
      <c r="E26" s="105" t="s">
        <v>131</v>
      </c>
      <c r="F26" s="105">
        <v>1.19</v>
      </c>
      <c r="G26" s="105" t="str">
        <f>CONCATENATE(H25,"/",F26)</f>
        <v>67849,2/1,19</v>
      </c>
      <c r="H26" s="343">
        <f>ROUND(H25/F26,2)</f>
        <v>57016.13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23:F23"/>
    <mergeCell ref="E19:E20"/>
    <mergeCell ref="F19:F20"/>
    <mergeCell ref="G19:G20"/>
    <mergeCell ref="H19:H20"/>
    <mergeCell ref="D19:D20"/>
    <mergeCell ref="A14:A17"/>
    <mergeCell ref="B14:B15"/>
    <mergeCell ref="C14:C15"/>
    <mergeCell ref="D14:D15"/>
    <mergeCell ref="E14:E15"/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zoomScale="90" zoomScaleNormal="100" zoomScaleSheetLayoutView="90" workbookViewId="0">
      <selection activeCell="D47" sqref="D47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67" t="s">
        <v>212</v>
      </c>
      <c r="B7" s="1867"/>
      <c r="C7" s="1867"/>
      <c r="D7" s="1867"/>
      <c r="E7" s="1867"/>
      <c r="F7" s="1867"/>
      <c r="G7" s="1867"/>
    </row>
    <row r="8" spans="1:238" s="160" customFormat="1" x14ac:dyDescent="0.2">
      <c r="A8" s="1985"/>
      <c r="B8" s="1985"/>
      <c r="C8" s="1985"/>
      <c r="D8" s="1985"/>
      <c r="E8" s="1985"/>
      <c r="F8" s="1985"/>
      <c r="G8" s="1985"/>
    </row>
    <row r="9" spans="1:238" s="160" customFormat="1" ht="41.25" customHeight="1" x14ac:dyDescent="0.2">
      <c r="A9" s="1986" t="str">
        <f>' ССР (нов)'!A6:G6</f>
        <v xml:space="preserve">Перекладка теплового ввода </v>
      </c>
      <c r="B9" s="1986"/>
      <c r="C9" s="1986"/>
      <c r="D9" s="1986"/>
      <c r="E9" s="1986"/>
      <c r="F9" s="1986"/>
      <c r="G9" s="1986"/>
    </row>
    <row r="10" spans="1:238" s="160" customFormat="1" ht="30.75" customHeight="1" x14ac:dyDescent="0.2">
      <c r="A10" s="1985" t="str">
        <f>' ССР (нов)'!A7:G7</f>
        <v>г. Москва , ул. Гамалеи д.11к.1</v>
      </c>
      <c r="B10" s="1985"/>
      <c r="C10" s="1985"/>
      <c r="D10" s="1985"/>
      <c r="E10" s="1985"/>
      <c r="F10" s="1985"/>
      <c r="G10" s="1985"/>
    </row>
    <row r="11" spans="1:238" s="160" customFormat="1" ht="30.75" customHeight="1" x14ac:dyDescent="0.2">
      <c r="A11" s="1985" t="s">
        <v>638</v>
      </c>
      <c r="B11" s="1985"/>
      <c r="C11" s="1985"/>
      <c r="D11" s="1985"/>
      <c r="E11" s="1985"/>
      <c r="F11" s="1985"/>
      <c r="G11" s="1985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7" t="s">
        <v>183</v>
      </c>
      <c r="B13" s="1988"/>
      <c r="C13" s="1988"/>
      <c r="D13" s="1988"/>
      <c r="E13" s="1988"/>
      <c r="F13" s="1988"/>
      <c r="G13" s="1989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104</v>
      </c>
      <c r="B14" s="150" t="s">
        <v>105</v>
      </c>
      <c r="C14" s="352" t="s">
        <v>9</v>
      </c>
      <c r="D14" s="150" t="s">
        <v>4</v>
      </c>
      <c r="E14" s="353" t="s">
        <v>106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107</v>
      </c>
      <c r="C15" s="356">
        <f>Т.с.!H102+'вв-выводы'!E35+'ООС+ТР'!H74+'ТР '!H45+РДП!H26+'Перекладка '!H84</f>
        <v>456313.33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3" t="s">
        <v>108</v>
      </c>
      <c r="C16" s="1984"/>
      <c r="D16" s="86" t="s">
        <v>109</v>
      </c>
      <c r="E16" s="173">
        <v>1.55</v>
      </c>
      <c r="F16" s="173" t="str">
        <f>CONCATENATE(C15,"/",E16)</f>
        <v>456313,33/1,55</v>
      </c>
      <c r="G16" s="342">
        <f>ROUND(C15/E16,2)</f>
        <v>294395.7</v>
      </c>
    </row>
    <row r="17" spans="1:13" s="69" customFormat="1" ht="54.75" customHeight="1" thickBot="1" x14ac:dyDescent="0.25">
      <c r="A17" s="360"/>
      <c r="B17" s="1983" t="s">
        <v>110</v>
      </c>
      <c r="C17" s="1984"/>
      <c r="D17" s="86" t="s">
        <v>115</v>
      </c>
      <c r="E17" s="361">
        <f>H36</f>
        <v>0.10299999999999999</v>
      </c>
      <c r="F17" s="105" t="str">
        <f>CONCATENATE(G16,"*",E17,"*",1.55)</f>
        <v>294395,7*0,103*1,55</v>
      </c>
      <c r="G17" s="343">
        <f>ROUND(G16*E17*1.55,2)</f>
        <v>47000.27</v>
      </c>
    </row>
    <row r="23" spans="1:13" s="1475" customFormat="1" ht="18.75" x14ac:dyDescent="0.3">
      <c r="A23" s="1473"/>
      <c r="B23" s="1474" t="s">
        <v>150</v>
      </c>
      <c r="I23" s="1476"/>
    </row>
    <row r="24" spans="1:13" s="1475" customFormat="1" x14ac:dyDescent="0.25">
      <c r="A24" s="1473"/>
      <c r="B24" s="1473" t="s">
        <v>151</v>
      </c>
      <c r="C24" s="1473"/>
      <c r="D24" s="1466" t="s">
        <v>654</v>
      </c>
      <c r="E24" s="60"/>
      <c r="F24" s="1981" t="s">
        <v>655</v>
      </c>
      <c r="G24" s="1982"/>
      <c r="H24" s="1487" t="s">
        <v>152</v>
      </c>
      <c r="I24" s="1477"/>
      <c r="J24" s="61"/>
      <c r="K24" s="61"/>
    </row>
    <row r="25" spans="1:13" s="1475" customFormat="1" x14ac:dyDescent="0.25">
      <c r="A25" s="1473"/>
      <c r="C25" s="58" t="s">
        <v>656</v>
      </c>
      <c r="D25" s="63">
        <v>5.0000000000000001E-3</v>
      </c>
      <c r="E25" s="64" t="s">
        <v>657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G12</f>
        <v>0</v>
      </c>
      <c r="C32" s="1481">
        <f>B32/1000000</f>
        <v>0</v>
      </c>
      <c r="D32" s="63"/>
      <c r="E32" s="64"/>
      <c r="F32" s="63"/>
      <c r="G32" s="64"/>
      <c r="H32" s="1482">
        <f>ROUND((F31-G33*(C32-D31)/E33),4)</f>
        <v>0.105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>
        <f>G16</f>
        <v>294395.7</v>
      </c>
      <c r="C38" s="1481">
        <f>B38/1000000</f>
        <v>0.29439570000000004</v>
      </c>
      <c r="D38" s="63"/>
      <c r="E38" s="64"/>
      <c r="F38" s="63"/>
      <c r="G38" s="64"/>
      <c r="H38" s="1482">
        <f>ROUND((F37-G39*(C38-D37)/E39),4)</f>
        <v>5.62E-2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/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658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2016-08-31T09:15:27Z</cp:lastPrinted>
  <dcterms:created xsi:type="dcterms:W3CDTF">2004-03-03T10:32:04Z</dcterms:created>
  <dcterms:modified xsi:type="dcterms:W3CDTF">2017-01-20T07:50:13Z</dcterms:modified>
</cp:coreProperties>
</file>