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725" windowWidth="11265" windowHeight="505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0">'С С Р'!$A$1:$G$26</definedName>
    <definedName name="_xlnm.Print_Area" localSheetId="6">СОГЛ!$A$1:$G$26</definedName>
    <definedName name="_xlnm.Print_Area" localSheetId="1">Т.с.!$A$1:$H$84</definedName>
  </definedNames>
  <calcPr calcId="145621"/>
</workbook>
</file>

<file path=xl/calcChain.xml><?xml version="1.0" encoding="utf-8"?>
<calcChain xmlns="http://schemas.openxmlformats.org/spreadsheetml/2006/main">
  <c r="D20" i="71" l="1"/>
  <c r="D47" i="62" l="1"/>
  <c r="H47" i="62" s="1"/>
  <c r="C43" i="62"/>
  <c r="D43" i="62" s="1"/>
  <c r="D38" i="62"/>
  <c r="H38" i="62" s="1"/>
  <c r="D33" i="62"/>
  <c r="G33" i="62" s="1"/>
  <c r="C28" i="62"/>
  <c r="D28" i="62" s="1"/>
  <c r="C23" i="62"/>
  <c r="D23" i="62" s="1"/>
  <c r="C17" i="62"/>
  <c r="D17" i="62" s="1"/>
  <c r="C51" i="62" l="1"/>
  <c r="G38" i="62"/>
  <c r="H22" i="62"/>
  <c r="H21" i="62"/>
  <c r="G22" i="62"/>
  <c r="G21" i="62"/>
  <c r="H28" i="62"/>
  <c r="G28" i="62"/>
  <c r="G44" i="62"/>
  <c r="H44" i="62"/>
  <c r="H24" i="62"/>
  <c r="G24" i="62"/>
  <c r="H33" i="62"/>
  <c r="G47" i="62"/>
  <c r="D51" i="62" l="1"/>
  <c r="G51" i="62" s="1"/>
  <c r="H51" i="62" l="1"/>
  <c r="H55" i="62" s="1"/>
  <c r="H75" i="62" l="1"/>
  <c r="G75" i="62"/>
  <c r="H74" i="62"/>
  <c r="G74" i="62"/>
  <c r="H73" i="62"/>
  <c r="G73" i="62"/>
  <c r="H72" i="62"/>
  <c r="G72" i="62"/>
  <c r="H71" i="62"/>
  <c r="G71" i="62"/>
  <c r="H76" i="62" l="1"/>
  <c r="H15" i="74"/>
  <c r="G15" i="74"/>
  <c r="H14" i="74"/>
  <c r="G14" i="74"/>
  <c r="A8" i="62" l="1"/>
  <c r="C67" i="62" l="1"/>
  <c r="E26" i="72" l="1"/>
  <c r="E21" i="72"/>
  <c r="B26" i="72"/>
  <c r="B21" i="72"/>
  <c r="F31" i="75"/>
  <c r="F27" i="75"/>
  <c r="B31" i="75"/>
  <c r="B27" i="75"/>
  <c r="F34" i="71"/>
  <c r="F31" i="71"/>
  <c r="B34" i="71"/>
  <c r="B31" i="71"/>
  <c r="E68" i="74"/>
  <c r="E65" i="74"/>
  <c r="A68" i="74"/>
  <c r="A65" i="74"/>
  <c r="D45" i="63"/>
  <c r="D42" i="63"/>
  <c r="B45" i="63"/>
  <c r="B42" i="63"/>
  <c r="E84" i="62"/>
  <c r="E81" i="62"/>
  <c r="B84" i="62"/>
  <c r="B81" i="62"/>
  <c r="A9" i="72"/>
  <c r="A7" i="75"/>
  <c r="A9" i="71"/>
  <c r="A9" i="74"/>
  <c r="A7" i="63"/>
  <c r="D17" i="75" l="1"/>
  <c r="G17" i="75" s="1"/>
  <c r="D13" i="75"/>
  <c r="H13" i="75" s="1"/>
  <c r="G13" i="75" l="1"/>
  <c r="H17" i="75"/>
  <c r="H21" i="75" s="1"/>
  <c r="D17" i="76" s="1"/>
  <c r="G17" i="76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G53" i="74"/>
  <c r="H55" i="74" l="1"/>
  <c r="H56" i="74"/>
  <c r="H57" i="74" s="1"/>
  <c r="G56" i="74"/>
  <c r="H59" i="74" l="1"/>
  <c r="H58" i="74"/>
  <c r="G59" i="74"/>
  <c r="G58" i="74"/>
  <c r="G57" i="74"/>
  <c r="H60" i="74" l="1"/>
  <c r="H61" i="74" s="1"/>
  <c r="G60" i="74"/>
  <c r="G61" i="74"/>
  <c r="D15" i="76" l="1"/>
  <c r="G15" i="76" s="1"/>
  <c r="C68" i="62" l="1"/>
  <c r="C69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56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56" i="62"/>
  <c r="G19" i="63"/>
  <c r="D12" i="76" l="1"/>
  <c r="G11" i="76"/>
  <c r="G12" i="76" s="1"/>
  <c r="G26" i="63"/>
  <c r="G19" i="71"/>
  <c r="G36" i="63"/>
  <c r="G37" i="63" s="1"/>
  <c r="C61" i="62"/>
  <c r="D61" i="62" s="1"/>
  <c r="G61" i="62" s="1"/>
  <c r="H61" i="62" s="1"/>
  <c r="H64" i="62" s="1"/>
  <c r="H77" i="62" s="1"/>
  <c r="D14" i="76" s="1"/>
  <c r="G14" i="76" l="1"/>
  <c r="I77" i="62"/>
  <c r="C14" i="72" l="1"/>
  <c r="G16" i="72" s="1"/>
  <c r="H78" i="62"/>
  <c r="G78" i="62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E17" i="72" s="1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<sst xmlns="http://schemas.openxmlformats.org/spreadsheetml/2006/main" count="430" uniqueCount="343">
  <si>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</si>
  <si>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</si>
  <si>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</si>
  <si>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</si>
  <si>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</si>
  <si>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</si>
  <si>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</si>
  <si>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</si>
  <si>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</si>
  <si>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</si>
  <si>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</si>
  <si>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</si>
  <si>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</si>
  <si>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</si>
  <si>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</si>
  <si>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</si>
  <si>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</si>
  <si>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</si>
  <si>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</si>
  <si>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</si>
  <si>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</si>
  <si>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</si>
  <si>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</si>
  <si>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</si>
  <si>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</si>
  <si>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</si>
  <si>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</si>
  <si>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</si>
  <si>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</si>
  <si>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</si>
  <si>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</si>
  <si>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</si>
  <si>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</si>
  <si>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</si>
  <si>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</si>
  <si>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</si>
  <si>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</si>
  <si>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</si>
  <si>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</si>
  <si>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</si>
  <si>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</si>
  <si>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</si>
  <si>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</si>
  <si>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</si>
  <si>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</si>
  <si>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</si>
  <si>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</si>
  <si>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</si>
  <si>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</si>
  <si>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</si>
  <si>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</si>
  <si>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</si>
  <si>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</si>
  <si>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</si>
  <si>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</si>
  <si>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</si>
  <si>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</si>
  <si>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</si>
  <si>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</si>
  <si>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</si>
  <si>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</si>
  <si>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</si>
  <si>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</si>
  <si>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</si>
  <si>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</si>
  <si>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</si>
  <si>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</si>
  <si>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</si>
  <si>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</si>
  <si>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</si>
  <si>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</si>
  <si>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</si>
  <si>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</si>
  <si>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</si>
  <si>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</si>
  <si>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</si>
  <si>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</si>
  <si>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</si>
  <si>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</si>
  <si>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</si>
  <si>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</si>
  <si>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</si>
  <si>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</si>
  <si>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</si>
  <si>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</si>
  <si>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</si>
  <si>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</si>
  <si>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</si>
  <si>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</si>
  <si>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</si>
  <si>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</si>
  <si>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</si>
  <si>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</si>
  <si>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</si>
  <si>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</si>
  <si>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</si>
  <si>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</si>
  <si>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</si>
  <si>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</si>
  <si>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</si>
  <si>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</si>
  <si>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</si>
  <si>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</si>
  <si>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</si>
  <si>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</si>
  <si>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</si>
  <si>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</si>
  <si>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</si>
  <si>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</si>
  <si>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</si>
  <si>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</si>
  <si>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</si>
  <si>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</si>
  <si>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</si>
  <si>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</si>
  <si>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</si>
  <si>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</si>
  <si>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</si>
  <si>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</si>
  <si>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</si>
  <si>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</si>
  <si>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</si>
  <si>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</si>
  <si>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</si>
  <si>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</si>
  <si>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</si>
  <si>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</si>
  <si>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</si>
  <si>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</si>
  <si>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</si>
  <si>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</si>
  <si>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</si>
  <si>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</si>
  <si>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</si>
  <si>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</si>
  <si>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</si>
  <si>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</si>
  <si>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</si>
  <si>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</si>
  <si>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</si>
  <si>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</si>
  <si>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</si>
  <si>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</si>
  <si>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</si>
  <si>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</si>
  <si>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</si>
  <si>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</si>
  <si>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</si>
  <si>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</si>
  <si>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</si>
  <si>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</si>
  <si>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</si>
  <si>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</si>
  <si>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</si>
  <si>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</si>
  <si>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</si>
  <si>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</si>
  <si>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</si>
  <si>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</si>
  <si>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</si>
  <si>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</si>
  <si>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</si>
  <si>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</si>
  <si>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</si>
  <si>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</si>
  <si>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</si>
  <si>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</si>
  <si>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</si>
  <si>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</si>
  <si>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</si>
  <si>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</si>
  <si>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</si>
  <si>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</si>
  <si>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</si>
  <si>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</si>
  <si>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</si>
  <si>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</si>
  <si>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</si>
  <si>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</si>
  <si>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</si>
  <si>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</si>
  <si>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</si>
  <si>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</si>
  <si>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</si>
  <si>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</si>
  <si>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</si>
  <si>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</si>
  <si>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</si>
  <si>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</si>
  <si>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</si>
  <si>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</si>
  <si>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</si>
  <si>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</si>
  <si>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</si>
  <si>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</si>
  <si>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</si>
  <si>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</si>
  <si>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</si>
  <si>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</si>
  <si>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</si>
  <si>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</si>
  <si>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</si>
  <si>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</si>
  <si>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</si>
  <si>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</si>
  <si>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</si>
  <si>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</si>
  <si>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</si>
  <si>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</si>
  <si>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</si>
  <si>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</si>
  <si>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</si>
  <si>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</si>
  <si>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</si>
  <si>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</si>
  <si>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</si>
  <si>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</si>
  <si>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</si>
  <si>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</si>
  <si>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</si>
  <si>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</si>
  <si>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</si>
  <si>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</si>
  <si>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</si>
  <si>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</si>
  <si>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</si>
  <si>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</si>
  <si>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</si>
  <si>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</si>
  <si>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</si>
  <si>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</si>
  <si>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</si>
  <si>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</si>
  <si>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</si>
  <si>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</si>
  <si>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</si>
  <si>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</si>
  <si>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</si>
  <si>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</si>
  <si>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</si>
  <si>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</si>
  <si>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</si>
  <si>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</si>
  <si>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</si>
  <si>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</si>
  <si>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</si>
  <si>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</si>
  <si>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</si>
  <si>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</si>
  <si>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</si>
  <si>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</si>
  <si>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</si>
  <si>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</si>
  <si>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</si>
  <si>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</si>
  <si>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</si>
  <si>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</si>
  <si>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</si>
  <si>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</si>
  <si>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</si>
  <si>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</si>
  <si>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</si>
  <si>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</si>
  <si>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</si>
  <si>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</si>
  <si>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</si>
  <si>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</si>
  <si>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</si>
  <si>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</si>
  <si>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</si>
  <si>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</si>
  <si>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</si>
  <si>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</si>
  <si>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</si>
  <si>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</si>
  <si>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</si>
  <si>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</si>
  <si>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</si>
  <si>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</si>
  <si>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комплекс</t>
  </si>
  <si>
    <t>Тепловая камера : 
                                        S=</t>
  </si>
  <si>
    <t>Количество камер</t>
  </si>
  <si>
    <t>(табл.3.10.5 п.4)    Ц(б)2000 = 
а+b*х,  где а=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</si>
  <si>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</si>
  <si>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</si>
  <si>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</si>
  <si>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</si>
  <si>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</si>
  <si>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</si>
  <si>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</si>
  <si>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</si>
  <si>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</si>
  <si>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</si>
  <si>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</si>
  <si>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</si>
  <si>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</si>
  <si>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</si>
  <si>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</si>
  <si>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</si>
  <si>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</si>
  <si>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</si>
  <si>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</si>
  <si>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</si>
  <si>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</si>
  <si>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</si>
  <si>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</si>
  <si>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</si>
  <si>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</si>
  <si>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</si>
  <si>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</si>
  <si>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</si>
  <si>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</si>
  <si>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Индекс пересчета на проектные работы  на 3 квартал 2016г. (Письмо Минстроя РФ от 27.09.2016 N 31523-ХМ/09)</t>
  </si>
  <si>
    <t>Смета № 5</t>
  </si>
  <si>
    <t>Смета № 6</t>
  </si>
  <si>
    <t xml:space="preserve">Итого по Сводному расчету </t>
  </si>
  <si>
    <t>(табл.3.10.4 п.1)   Ц(б)2000 = а+b*х,  где а=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</si>
  <si>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</si>
  <si>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</si>
  <si>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</si>
  <si>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</si>
  <si>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</si>
  <si>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</si>
  <si>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Тепловая камера - новая</t>
  </si>
  <si>
    <t>строительная часть 100%</t>
  </si>
  <si>
    <t>(табл.3.10.4 п.12)  Ц(б)2000 = а,  где а=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</si>
  <si>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</si>
  <si>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</si>
  <si>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>(табл.3.10.4 п.2)   Ц(б)2000 = а+b*х,  где а=</t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</si>
  <si>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</si>
  <si>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</si>
  <si>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</si>
  <si>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Узел управления для обслуживания шаровых кранов (байпас) :</t>
  </si>
  <si>
    <t>Монолитная 4,2*4,6*2,0м</t>
  </si>
  <si>
    <t>2Ду50мм</t>
  </si>
  <si>
    <t>в монолитном п/проходном канале</t>
  </si>
  <si>
    <t>П/проходной канал:           L=</t>
  </si>
  <si>
    <t>(табл.3.10.5 п.1)   Ц(б)2000 = а+b*х,  где а=</t>
  </si>
  <si>
    <r>
      <t xml:space="preserve">К1 </t>
    </r>
    <r>
      <rPr>
        <sz val="10"/>
        <rFont val="Times New Roman"/>
        <family val="1"/>
        <charset val="204"/>
      </rPr>
      <t>- п/проходной канал (табл.3.10.4 прим.п.9)</t>
    </r>
  </si>
  <si>
    <t>Монтаж Байпас  до Ду300</t>
  </si>
  <si>
    <t>2Ду200мм  12м+8м</t>
  </si>
  <si>
    <t>Сборная 4,2*4,2*2,0м2</t>
  </si>
  <si>
    <t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здание»,  расположенного по адресу:
г. Москва, Бродников пер., д.7, стр.2.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</si>
</sst>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2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18" xfId="0" applyNumberFormat="1" applyFont="1" applyFill="1" applyBorder="1" applyAlignment="1">
      <alignment horizontal="center" vertical="center"/>
    </xf>
    <xf numFmtId="168" fontId="16" fillId="0" borderId="6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4" fillId="0" borderId="39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2" fontId="14" fillId="0" borderId="3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3" fontId="14" fillId="0" borderId="39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>
      <alignment horizontal="left" vertical="center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0" fontId="14" fillId="0" borderId="33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4" fillId="0" borderId="3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0" fontId="14" fillId="0" borderId="23" xfId="0" applyFont="1" applyFill="1" applyBorder="1" applyAlignment="1">
      <alignment horizontal="left"/>
    </xf>
    <xf numFmtId="0" fontId="14" fillId="0" borderId="42" xfId="0" applyFont="1" applyFill="1" applyBorder="1" applyAlignment="1">
      <alignment horizontal="center" vertical="center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left" vertical="center" wrapText="1"/>
      <protection locked="0"/>
    </xf>
    <xf numFmtId="4" fontId="16" fillId="0" borderId="11" xfId="0" applyNumberFormat="1" applyFont="1" applyFill="1" applyBorder="1" applyAlignment="1">
      <alignment horizontal="center" vertical="center"/>
    </xf>
    <xf numFmtId="3" fontId="14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9" xfId="0" applyFont="1" applyFill="1" applyBorder="1" applyAlignment="1" applyProtection="1">
      <alignment horizontal="center" vertical="center" wrapText="1"/>
      <protection locked="0"/>
    </xf>
    <xf numFmtId="0" fontId="14" fillId="0" borderId="63" xfId="0" applyFont="1" applyFill="1" applyBorder="1" applyAlignment="1" applyProtection="1">
      <alignment horizontal="right" vertical="top" wrapText="1"/>
      <protection locked="0"/>
    </xf>
    <xf numFmtId="3" fontId="14" fillId="0" borderId="17" xfId="0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 applyProtection="1">
      <alignment horizontal="left" vertical="center" wrapText="1"/>
      <protection locked="0"/>
    </xf>
    <xf numFmtId="171" fontId="14" fillId="0" borderId="6" xfId="15" applyNumberFormat="1" applyFont="1" applyFill="1" applyBorder="1" applyAlignment="1">
      <alignment horizontal="center" vertical="center" wrapText="1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1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7" fillId="0" borderId="40" xfId="23" applyFont="1" applyFill="1" applyBorder="1" applyAlignment="1">
      <alignment horizontal="center" vertical="center" wrapText="1"/>
    </xf>
    <xf numFmtId="0" fontId="17" fillId="0" borderId="42" xfId="23" applyFont="1" applyFill="1" applyBorder="1" applyAlignment="1">
      <alignment horizontal="center" vertical="center" wrapText="1"/>
    </xf>
    <xf numFmtId="0" fontId="17" fillId="0" borderId="52" xfId="23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17</xdr:row>
      <xdr:rowOff>28839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Normal="100" zoomScaleSheetLayoutView="100" workbookViewId="0">
      <selection activeCell="E33" sqref="E33"/>
    </sheetView>
  </sheetViews>
  <sheetFormatPr defaultColWidth="9.140625" defaultRowHeight="15" x14ac:dyDescent="0.2"/>
  <cols>
    <col min="1" max="1" width="4.7109375" style="537" customWidth="1"/>
    <col min="2" max="2" width="38.140625" style="537" customWidth="1"/>
    <col min="3" max="3" width="10.7109375" style="547" customWidth="1"/>
    <col min="4" max="4" width="16.28515625" style="537" customWidth="1"/>
    <col min="5" max="5" width="35" style="539" customWidth="1"/>
    <col min="6" max="6" width="11.85546875" style="537" customWidth="1"/>
    <col min="7" max="7" width="17.42578125" style="537" customWidth="1"/>
    <col min="8" max="8" width="11.28515625" style="537" bestFit="1" customWidth="1"/>
    <col min="9" max="256" width="9.140625" style="537"/>
    <col min="257" max="257" width="4.7109375" style="537" customWidth="1"/>
    <col min="258" max="258" width="44.85546875" style="537" customWidth="1"/>
    <col min="259" max="259" width="14.5703125" style="537" customWidth="1"/>
    <col min="260" max="260" width="16.28515625" style="537" customWidth="1"/>
    <col min="261" max="261" width="38.7109375" style="537" customWidth="1"/>
    <col min="262" max="262" width="12.7109375" style="537" customWidth="1"/>
    <col min="263" max="263" width="17.42578125" style="537" customWidth="1"/>
    <col min="264" max="264" width="11.28515625" style="537" bestFit="1" customWidth="1"/>
    <col min="265" max="512" width="9.140625" style="537"/>
    <col min="513" max="513" width="4.7109375" style="537" customWidth="1"/>
    <col min="514" max="514" width="44.85546875" style="537" customWidth="1"/>
    <col min="515" max="515" width="14.5703125" style="537" customWidth="1"/>
    <col min="516" max="516" width="16.28515625" style="537" customWidth="1"/>
    <col min="517" max="517" width="38.7109375" style="537" customWidth="1"/>
    <col min="518" max="518" width="12.7109375" style="537" customWidth="1"/>
    <col min="519" max="519" width="17.42578125" style="537" customWidth="1"/>
    <col min="520" max="520" width="11.28515625" style="537" bestFit="1" customWidth="1"/>
    <col min="521" max="768" width="9.140625" style="537"/>
    <col min="769" max="769" width="4.7109375" style="537" customWidth="1"/>
    <col min="770" max="770" width="44.85546875" style="537" customWidth="1"/>
    <col min="771" max="771" width="14.5703125" style="537" customWidth="1"/>
    <col min="772" max="772" width="16.28515625" style="537" customWidth="1"/>
    <col min="773" max="773" width="38.7109375" style="537" customWidth="1"/>
    <col min="774" max="774" width="12.7109375" style="537" customWidth="1"/>
    <col min="775" max="775" width="17.42578125" style="537" customWidth="1"/>
    <col min="776" max="776" width="11.28515625" style="537" bestFit="1" customWidth="1"/>
    <col min="777" max="1024" width="9.140625" style="537"/>
    <col min="1025" max="1025" width="4.7109375" style="537" customWidth="1"/>
    <col min="1026" max="1026" width="44.85546875" style="537" customWidth="1"/>
    <col min="1027" max="1027" width="14.5703125" style="537" customWidth="1"/>
    <col min="1028" max="1028" width="16.28515625" style="537" customWidth="1"/>
    <col min="1029" max="1029" width="38.7109375" style="537" customWidth="1"/>
    <col min="1030" max="1030" width="12.7109375" style="537" customWidth="1"/>
    <col min="1031" max="1031" width="17.42578125" style="537" customWidth="1"/>
    <col min="1032" max="1032" width="11.28515625" style="537" bestFit="1" customWidth="1"/>
    <col min="1033" max="1280" width="9.140625" style="537"/>
    <col min="1281" max="1281" width="4.7109375" style="537" customWidth="1"/>
    <col min="1282" max="1282" width="44.85546875" style="537" customWidth="1"/>
    <col min="1283" max="1283" width="14.5703125" style="537" customWidth="1"/>
    <col min="1284" max="1284" width="16.28515625" style="537" customWidth="1"/>
    <col min="1285" max="1285" width="38.7109375" style="537" customWidth="1"/>
    <col min="1286" max="1286" width="12.7109375" style="537" customWidth="1"/>
    <col min="1287" max="1287" width="17.42578125" style="537" customWidth="1"/>
    <col min="1288" max="1288" width="11.28515625" style="537" bestFit="1" customWidth="1"/>
    <col min="1289" max="1536" width="9.140625" style="537"/>
    <col min="1537" max="1537" width="4.7109375" style="537" customWidth="1"/>
    <col min="1538" max="1538" width="44.85546875" style="537" customWidth="1"/>
    <col min="1539" max="1539" width="14.5703125" style="537" customWidth="1"/>
    <col min="1540" max="1540" width="16.28515625" style="537" customWidth="1"/>
    <col min="1541" max="1541" width="38.7109375" style="537" customWidth="1"/>
    <col min="1542" max="1542" width="12.7109375" style="537" customWidth="1"/>
    <col min="1543" max="1543" width="17.42578125" style="537" customWidth="1"/>
    <col min="1544" max="1544" width="11.28515625" style="537" bestFit="1" customWidth="1"/>
    <col min="1545" max="1792" width="9.140625" style="537"/>
    <col min="1793" max="1793" width="4.7109375" style="537" customWidth="1"/>
    <col min="1794" max="1794" width="44.85546875" style="537" customWidth="1"/>
    <col min="1795" max="1795" width="14.5703125" style="537" customWidth="1"/>
    <col min="1796" max="1796" width="16.28515625" style="537" customWidth="1"/>
    <col min="1797" max="1797" width="38.7109375" style="537" customWidth="1"/>
    <col min="1798" max="1798" width="12.7109375" style="537" customWidth="1"/>
    <col min="1799" max="1799" width="17.42578125" style="537" customWidth="1"/>
    <col min="1800" max="1800" width="11.28515625" style="537" bestFit="1" customWidth="1"/>
    <col min="1801" max="2048" width="9.140625" style="537"/>
    <col min="2049" max="2049" width="4.7109375" style="537" customWidth="1"/>
    <col min="2050" max="2050" width="44.85546875" style="537" customWidth="1"/>
    <col min="2051" max="2051" width="14.5703125" style="537" customWidth="1"/>
    <col min="2052" max="2052" width="16.28515625" style="537" customWidth="1"/>
    <col min="2053" max="2053" width="38.7109375" style="537" customWidth="1"/>
    <col min="2054" max="2054" width="12.7109375" style="537" customWidth="1"/>
    <col min="2055" max="2055" width="17.42578125" style="537" customWidth="1"/>
    <col min="2056" max="2056" width="11.28515625" style="537" bestFit="1" customWidth="1"/>
    <col min="2057" max="2304" width="9.140625" style="537"/>
    <col min="2305" max="2305" width="4.7109375" style="537" customWidth="1"/>
    <col min="2306" max="2306" width="44.85546875" style="537" customWidth="1"/>
    <col min="2307" max="2307" width="14.5703125" style="537" customWidth="1"/>
    <col min="2308" max="2308" width="16.28515625" style="537" customWidth="1"/>
    <col min="2309" max="2309" width="38.7109375" style="537" customWidth="1"/>
    <col min="2310" max="2310" width="12.7109375" style="537" customWidth="1"/>
    <col min="2311" max="2311" width="17.42578125" style="537" customWidth="1"/>
    <col min="2312" max="2312" width="11.28515625" style="537" bestFit="1" customWidth="1"/>
    <col min="2313" max="2560" width="9.140625" style="537"/>
    <col min="2561" max="2561" width="4.7109375" style="537" customWidth="1"/>
    <col min="2562" max="2562" width="44.85546875" style="537" customWidth="1"/>
    <col min="2563" max="2563" width="14.5703125" style="537" customWidth="1"/>
    <col min="2564" max="2564" width="16.28515625" style="537" customWidth="1"/>
    <col min="2565" max="2565" width="38.7109375" style="537" customWidth="1"/>
    <col min="2566" max="2566" width="12.7109375" style="537" customWidth="1"/>
    <col min="2567" max="2567" width="17.42578125" style="537" customWidth="1"/>
    <col min="2568" max="2568" width="11.28515625" style="537" bestFit="1" customWidth="1"/>
    <col min="2569" max="2816" width="9.140625" style="537"/>
    <col min="2817" max="2817" width="4.7109375" style="537" customWidth="1"/>
    <col min="2818" max="2818" width="44.85546875" style="537" customWidth="1"/>
    <col min="2819" max="2819" width="14.5703125" style="537" customWidth="1"/>
    <col min="2820" max="2820" width="16.28515625" style="537" customWidth="1"/>
    <col min="2821" max="2821" width="38.7109375" style="537" customWidth="1"/>
    <col min="2822" max="2822" width="12.7109375" style="537" customWidth="1"/>
    <col min="2823" max="2823" width="17.42578125" style="537" customWidth="1"/>
    <col min="2824" max="2824" width="11.28515625" style="537" bestFit="1" customWidth="1"/>
    <col min="2825" max="3072" width="9.140625" style="537"/>
    <col min="3073" max="3073" width="4.7109375" style="537" customWidth="1"/>
    <col min="3074" max="3074" width="44.85546875" style="537" customWidth="1"/>
    <col min="3075" max="3075" width="14.5703125" style="537" customWidth="1"/>
    <col min="3076" max="3076" width="16.28515625" style="537" customWidth="1"/>
    <col min="3077" max="3077" width="38.7109375" style="537" customWidth="1"/>
    <col min="3078" max="3078" width="12.7109375" style="537" customWidth="1"/>
    <col min="3079" max="3079" width="17.42578125" style="537" customWidth="1"/>
    <col min="3080" max="3080" width="11.28515625" style="537" bestFit="1" customWidth="1"/>
    <col min="3081" max="3328" width="9.140625" style="537"/>
    <col min="3329" max="3329" width="4.7109375" style="537" customWidth="1"/>
    <col min="3330" max="3330" width="44.85546875" style="537" customWidth="1"/>
    <col min="3331" max="3331" width="14.5703125" style="537" customWidth="1"/>
    <col min="3332" max="3332" width="16.28515625" style="537" customWidth="1"/>
    <col min="3333" max="3333" width="38.7109375" style="537" customWidth="1"/>
    <col min="3334" max="3334" width="12.7109375" style="537" customWidth="1"/>
    <col min="3335" max="3335" width="17.42578125" style="537" customWidth="1"/>
    <col min="3336" max="3336" width="11.28515625" style="537" bestFit="1" customWidth="1"/>
    <col min="3337" max="3584" width="9.140625" style="537"/>
    <col min="3585" max="3585" width="4.7109375" style="537" customWidth="1"/>
    <col min="3586" max="3586" width="44.85546875" style="537" customWidth="1"/>
    <col min="3587" max="3587" width="14.5703125" style="537" customWidth="1"/>
    <col min="3588" max="3588" width="16.28515625" style="537" customWidth="1"/>
    <col min="3589" max="3589" width="38.7109375" style="537" customWidth="1"/>
    <col min="3590" max="3590" width="12.7109375" style="537" customWidth="1"/>
    <col min="3591" max="3591" width="17.42578125" style="537" customWidth="1"/>
    <col min="3592" max="3592" width="11.28515625" style="537" bestFit="1" customWidth="1"/>
    <col min="3593" max="3840" width="9.140625" style="537"/>
    <col min="3841" max="3841" width="4.7109375" style="537" customWidth="1"/>
    <col min="3842" max="3842" width="44.85546875" style="537" customWidth="1"/>
    <col min="3843" max="3843" width="14.5703125" style="537" customWidth="1"/>
    <col min="3844" max="3844" width="16.28515625" style="537" customWidth="1"/>
    <col min="3845" max="3845" width="38.7109375" style="537" customWidth="1"/>
    <col min="3846" max="3846" width="12.7109375" style="537" customWidth="1"/>
    <col min="3847" max="3847" width="17.42578125" style="537" customWidth="1"/>
    <col min="3848" max="3848" width="11.28515625" style="537" bestFit="1" customWidth="1"/>
    <col min="3849" max="4096" width="9.140625" style="537"/>
    <col min="4097" max="4097" width="4.7109375" style="537" customWidth="1"/>
    <col min="4098" max="4098" width="44.85546875" style="537" customWidth="1"/>
    <col min="4099" max="4099" width="14.5703125" style="537" customWidth="1"/>
    <col min="4100" max="4100" width="16.28515625" style="537" customWidth="1"/>
    <col min="4101" max="4101" width="38.7109375" style="537" customWidth="1"/>
    <col min="4102" max="4102" width="12.7109375" style="537" customWidth="1"/>
    <col min="4103" max="4103" width="17.42578125" style="537" customWidth="1"/>
    <col min="4104" max="4104" width="11.28515625" style="537" bestFit="1" customWidth="1"/>
    <col min="4105" max="4352" width="9.140625" style="537"/>
    <col min="4353" max="4353" width="4.7109375" style="537" customWidth="1"/>
    <col min="4354" max="4354" width="44.85546875" style="537" customWidth="1"/>
    <col min="4355" max="4355" width="14.5703125" style="537" customWidth="1"/>
    <col min="4356" max="4356" width="16.28515625" style="537" customWidth="1"/>
    <col min="4357" max="4357" width="38.7109375" style="537" customWidth="1"/>
    <col min="4358" max="4358" width="12.7109375" style="537" customWidth="1"/>
    <col min="4359" max="4359" width="17.42578125" style="537" customWidth="1"/>
    <col min="4360" max="4360" width="11.28515625" style="537" bestFit="1" customWidth="1"/>
    <col min="4361" max="4608" width="9.140625" style="537"/>
    <col min="4609" max="4609" width="4.7109375" style="537" customWidth="1"/>
    <col min="4610" max="4610" width="44.85546875" style="537" customWidth="1"/>
    <col min="4611" max="4611" width="14.5703125" style="537" customWidth="1"/>
    <col min="4612" max="4612" width="16.28515625" style="537" customWidth="1"/>
    <col min="4613" max="4613" width="38.7109375" style="537" customWidth="1"/>
    <col min="4614" max="4614" width="12.7109375" style="537" customWidth="1"/>
    <col min="4615" max="4615" width="17.42578125" style="537" customWidth="1"/>
    <col min="4616" max="4616" width="11.28515625" style="537" bestFit="1" customWidth="1"/>
    <col min="4617" max="4864" width="9.140625" style="537"/>
    <col min="4865" max="4865" width="4.7109375" style="537" customWidth="1"/>
    <col min="4866" max="4866" width="44.85546875" style="537" customWidth="1"/>
    <col min="4867" max="4867" width="14.5703125" style="537" customWidth="1"/>
    <col min="4868" max="4868" width="16.28515625" style="537" customWidth="1"/>
    <col min="4869" max="4869" width="38.7109375" style="537" customWidth="1"/>
    <col min="4870" max="4870" width="12.7109375" style="537" customWidth="1"/>
    <col min="4871" max="4871" width="17.42578125" style="537" customWidth="1"/>
    <col min="4872" max="4872" width="11.28515625" style="537" bestFit="1" customWidth="1"/>
    <col min="4873" max="5120" width="9.140625" style="537"/>
    <col min="5121" max="5121" width="4.7109375" style="537" customWidth="1"/>
    <col min="5122" max="5122" width="44.85546875" style="537" customWidth="1"/>
    <col min="5123" max="5123" width="14.5703125" style="537" customWidth="1"/>
    <col min="5124" max="5124" width="16.28515625" style="537" customWidth="1"/>
    <col min="5125" max="5125" width="38.7109375" style="537" customWidth="1"/>
    <col min="5126" max="5126" width="12.7109375" style="537" customWidth="1"/>
    <col min="5127" max="5127" width="17.42578125" style="537" customWidth="1"/>
    <col min="5128" max="5128" width="11.28515625" style="537" bestFit="1" customWidth="1"/>
    <col min="5129" max="5376" width="9.140625" style="537"/>
    <col min="5377" max="5377" width="4.7109375" style="537" customWidth="1"/>
    <col min="5378" max="5378" width="44.85546875" style="537" customWidth="1"/>
    <col min="5379" max="5379" width="14.5703125" style="537" customWidth="1"/>
    <col min="5380" max="5380" width="16.28515625" style="537" customWidth="1"/>
    <col min="5381" max="5381" width="38.7109375" style="537" customWidth="1"/>
    <col min="5382" max="5382" width="12.7109375" style="537" customWidth="1"/>
    <col min="5383" max="5383" width="17.42578125" style="537" customWidth="1"/>
    <col min="5384" max="5384" width="11.28515625" style="537" bestFit="1" customWidth="1"/>
    <col min="5385" max="5632" width="9.140625" style="537"/>
    <col min="5633" max="5633" width="4.7109375" style="537" customWidth="1"/>
    <col min="5634" max="5634" width="44.85546875" style="537" customWidth="1"/>
    <col min="5635" max="5635" width="14.5703125" style="537" customWidth="1"/>
    <col min="5636" max="5636" width="16.28515625" style="537" customWidth="1"/>
    <col min="5637" max="5637" width="38.7109375" style="537" customWidth="1"/>
    <col min="5638" max="5638" width="12.7109375" style="537" customWidth="1"/>
    <col min="5639" max="5639" width="17.42578125" style="537" customWidth="1"/>
    <col min="5640" max="5640" width="11.28515625" style="537" bestFit="1" customWidth="1"/>
    <col min="5641" max="5888" width="9.140625" style="537"/>
    <col min="5889" max="5889" width="4.7109375" style="537" customWidth="1"/>
    <col min="5890" max="5890" width="44.85546875" style="537" customWidth="1"/>
    <col min="5891" max="5891" width="14.5703125" style="537" customWidth="1"/>
    <col min="5892" max="5892" width="16.28515625" style="537" customWidth="1"/>
    <col min="5893" max="5893" width="38.7109375" style="537" customWidth="1"/>
    <col min="5894" max="5894" width="12.7109375" style="537" customWidth="1"/>
    <col min="5895" max="5895" width="17.42578125" style="537" customWidth="1"/>
    <col min="5896" max="5896" width="11.28515625" style="537" bestFit="1" customWidth="1"/>
    <col min="5897" max="6144" width="9.140625" style="537"/>
    <col min="6145" max="6145" width="4.7109375" style="537" customWidth="1"/>
    <col min="6146" max="6146" width="44.85546875" style="537" customWidth="1"/>
    <col min="6147" max="6147" width="14.5703125" style="537" customWidth="1"/>
    <col min="6148" max="6148" width="16.28515625" style="537" customWidth="1"/>
    <col min="6149" max="6149" width="38.7109375" style="537" customWidth="1"/>
    <col min="6150" max="6150" width="12.7109375" style="537" customWidth="1"/>
    <col min="6151" max="6151" width="17.42578125" style="537" customWidth="1"/>
    <col min="6152" max="6152" width="11.28515625" style="537" bestFit="1" customWidth="1"/>
    <col min="6153" max="6400" width="9.140625" style="537"/>
    <col min="6401" max="6401" width="4.7109375" style="537" customWidth="1"/>
    <col min="6402" max="6402" width="44.85546875" style="537" customWidth="1"/>
    <col min="6403" max="6403" width="14.5703125" style="537" customWidth="1"/>
    <col min="6404" max="6404" width="16.28515625" style="537" customWidth="1"/>
    <col min="6405" max="6405" width="38.7109375" style="537" customWidth="1"/>
    <col min="6406" max="6406" width="12.7109375" style="537" customWidth="1"/>
    <col min="6407" max="6407" width="17.42578125" style="537" customWidth="1"/>
    <col min="6408" max="6408" width="11.28515625" style="537" bestFit="1" customWidth="1"/>
    <col min="6409" max="6656" width="9.140625" style="537"/>
    <col min="6657" max="6657" width="4.7109375" style="537" customWidth="1"/>
    <col min="6658" max="6658" width="44.85546875" style="537" customWidth="1"/>
    <col min="6659" max="6659" width="14.5703125" style="537" customWidth="1"/>
    <col min="6660" max="6660" width="16.28515625" style="537" customWidth="1"/>
    <col min="6661" max="6661" width="38.7109375" style="537" customWidth="1"/>
    <col min="6662" max="6662" width="12.7109375" style="537" customWidth="1"/>
    <col min="6663" max="6663" width="17.42578125" style="537" customWidth="1"/>
    <col min="6664" max="6664" width="11.28515625" style="537" bestFit="1" customWidth="1"/>
    <col min="6665" max="6912" width="9.140625" style="537"/>
    <col min="6913" max="6913" width="4.7109375" style="537" customWidth="1"/>
    <col min="6914" max="6914" width="44.85546875" style="537" customWidth="1"/>
    <col min="6915" max="6915" width="14.5703125" style="537" customWidth="1"/>
    <col min="6916" max="6916" width="16.28515625" style="537" customWidth="1"/>
    <col min="6917" max="6917" width="38.7109375" style="537" customWidth="1"/>
    <col min="6918" max="6918" width="12.7109375" style="537" customWidth="1"/>
    <col min="6919" max="6919" width="17.42578125" style="537" customWidth="1"/>
    <col min="6920" max="6920" width="11.28515625" style="537" bestFit="1" customWidth="1"/>
    <col min="6921" max="7168" width="9.140625" style="537"/>
    <col min="7169" max="7169" width="4.7109375" style="537" customWidth="1"/>
    <col min="7170" max="7170" width="44.85546875" style="537" customWidth="1"/>
    <col min="7171" max="7171" width="14.5703125" style="537" customWidth="1"/>
    <col min="7172" max="7172" width="16.28515625" style="537" customWidth="1"/>
    <col min="7173" max="7173" width="38.7109375" style="537" customWidth="1"/>
    <col min="7174" max="7174" width="12.7109375" style="537" customWidth="1"/>
    <col min="7175" max="7175" width="17.42578125" style="537" customWidth="1"/>
    <col min="7176" max="7176" width="11.28515625" style="537" bestFit="1" customWidth="1"/>
    <col min="7177" max="7424" width="9.140625" style="537"/>
    <col min="7425" max="7425" width="4.7109375" style="537" customWidth="1"/>
    <col min="7426" max="7426" width="44.85546875" style="537" customWidth="1"/>
    <col min="7427" max="7427" width="14.5703125" style="537" customWidth="1"/>
    <col min="7428" max="7428" width="16.28515625" style="537" customWidth="1"/>
    <col min="7429" max="7429" width="38.7109375" style="537" customWidth="1"/>
    <col min="7430" max="7430" width="12.7109375" style="537" customWidth="1"/>
    <col min="7431" max="7431" width="17.42578125" style="537" customWidth="1"/>
    <col min="7432" max="7432" width="11.28515625" style="537" bestFit="1" customWidth="1"/>
    <col min="7433" max="7680" width="9.140625" style="537"/>
    <col min="7681" max="7681" width="4.7109375" style="537" customWidth="1"/>
    <col min="7682" max="7682" width="44.85546875" style="537" customWidth="1"/>
    <col min="7683" max="7683" width="14.5703125" style="537" customWidth="1"/>
    <col min="7684" max="7684" width="16.28515625" style="537" customWidth="1"/>
    <col min="7685" max="7685" width="38.7109375" style="537" customWidth="1"/>
    <col min="7686" max="7686" width="12.7109375" style="537" customWidth="1"/>
    <col min="7687" max="7687" width="17.42578125" style="537" customWidth="1"/>
    <col min="7688" max="7688" width="11.28515625" style="537" bestFit="1" customWidth="1"/>
    <col min="7689" max="7936" width="9.140625" style="537"/>
    <col min="7937" max="7937" width="4.7109375" style="537" customWidth="1"/>
    <col min="7938" max="7938" width="44.85546875" style="537" customWidth="1"/>
    <col min="7939" max="7939" width="14.5703125" style="537" customWidth="1"/>
    <col min="7940" max="7940" width="16.28515625" style="537" customWidth="1"/>
    <col min="7941" max="7941" width="38.7109375" style="537" customWidth="1"/>
    <col min="7942" max="7942" width="12.7109375" style="537" customWidth="1"/>
    <col min="7943" max="7943" width="17.42578125" style="537" customWidth="1"/>
    <col min="7944" max="7944" width="11.28515625" style="537" bestFit="1" customWidth="1"/>
    <col min="7945" max="8192" width="9.140625" style="537"/>
    <col min="8193" max="8193" width="4.7109375" style="537" customWidth="1"/>
    <col min="8194" max="8194" width="44.85546875" style="537" customWidth="1"/>
    <col min="8195" max="8195" width="14.5703125" style="537" customWidth="1"/>
    <col min="8196" max="8196" width="16.28515625" style="537" customWidth="1"/>
    <col min="8197" max="8197" width="38.7109375" style="537" customWidth="1"/>
    <col min="8198" max="8198" width="12.7109375" style="537" customWidth="1"/>
    <col min="8199" max="8199" width="17.42578125" style="537" customWidth="1"/>
    <col min="8200" max="8200" width="11.28515625" style="537" bestFit="1" customWidth="1"/>
    <col min="8201" max="8448" width="9.140625" style="537"/>
    <col min="8449" max="8449" width="4.7109375" style="537" customWidth="1"/>
    <col min="8450" max="8450" width="44.85546875" style="537" customWidth="1"/>
    <col min="8451" max="8451" width="14.5703125" style="537" customWidth="1"/>
    <col min="8452" max="8452" width="16.28515625" style="537" customWidth="1"/>
    <col min="8453" max="8453" width="38.7109375" style="537" customWidth="1"/>
    <col min="8454" max="8454" width="12.7109375" style="537" customWidth="1"/>
    <col min="8455" max="8455" width="17.42578125" style="537" customWidth="1"/>
    <col min="8456" max="8456" width="11.28515625" style="537" bestFit="1" customWidth="1"/>
    <col min="8457" max="8704" width="9.140625" style="537"/>
    <col min="8705" max="8705" width="4.7109375" style="537" customWidth="1"/>
    <col min="8706" max="8706" width="44.85546875" style="537" customWidth="1"/>
    <col min="8707" max="8707" width="14.5703125" style="537" customWidth="1"/>
    <col min="8708" max="8708" width="16.28515625" style="537" customWidth="1"/>
    <col min="8709" max="8709" width="38.7109375" style="537" customWidth="1"/>
    <col min="8710" max="8710" width="12.7109375" style="537" customWidth="1"/>
    <col min="8711" max="8711" width="17.42578125" style="537" customWidth="1"/>
    <col min="8712" max="8712" width="11.28515625" style="537" bestFit="1" customWidth="1"/>
    <col min="8713" max="8960" width="9.140625" style="537"/>
    <col min="8961" max="8961" width="4.7109375" style="537" customWidth="1"/>
    <col min="8962" max="8962" width="44.85546875" style="537" customWidth="1"/>
    <col min="8963" max="8963" width="14.5703125" style="537" customWidth="1"/>
    <col min="8964" max="8964" width="16.28515625" style="537" customWidth="1"/>
    <col min="8965" max="8965" width="38.7109375" style="537" customWidth="1"/>
    <col min="8966" max="8966" width="12.7109375" style="537" customWidth="1"/>
    <col min="8967" max="8967" width="17.42578125" style="537" customWidth="1"/>
    <col min="8968" max="8968" width="11.28515625" style="537" bestFit="1" customWidth="1"/>
    <col min="8969" max="9216" width="9.140625" style="537"/>
    <col min="9217" max="9217" width="4.7109375" style="537" customWidth="1"/>
    <col min="9218" max="9218" width="44.85546875" style="537" customWidth="1"/>
    <col min="9219" max="9219" width="14.5703125" style="537" customWidth="1"/>
    <col min="9220" max="9220" width="16.28515625" style="537" customWidth="1"/>
    <col min="9221" max="9221" width="38.7109375" style="537" customWidth="1"/>
    <col min="9222" max="9222" width="12.7109375" style="537" customWidth="1"/>
    <col min="9223" max="9223" width="17.42578125" style="537" customWidth="1"/>
    <col min="9224" max="9224" width="11.28515625" style="537" bestFit="1" customWidth="1"/>
    <col min="9225" max="9472" width="9.140625" style="537"/>
    <col min="9473" max="9473" width="4.7109375" style="537" customWidth="1"/>
    <col min="9474" max="9474" width="44.85546875" style="537" customWidth="1"/>
    <col min="9475" max="9475" width="14.5703125" style="537" customWidth="1"/>
    <col min="9476" max="9476" width="16.28515625" style="537" customWidth="1"/>
    <col min="9477" max="9477" width="38.7109375" style="537" customWidth="1"/>
    <col min="9478" max="9478" width="12.7109375" style="537" customWidth="1"/>
    <col min="9479" max="9479" width="17.42578125" style="537" customWidth="1"/>
    <col min="9480" max="9480" width="11.28515625" style="537" bestFit="1" customWidth="1"/>
    <col min="9481" max="9728" width="9.140625" style="537"/>
    <col min="9729" max="9729" width="4.7109375" style="537" customWidth="1"/>
    <col min="9730" max="9730" width="44.85546875" style="537" customWidth="1"/>
    <col min="9731" max="9731" width="14.5703125" style="537" customWidth="1"/>
    <col min="9732" max="9732" width="16.28515625" style="537" customWidth="1"/>
    <col min="9733" max="9733" width="38.7109375" style="537" customWidth="1"/>
    <col min="9734" max="9734" width="12.7109375" style="537" customWidth="1"/>
    <col min="9735" max="9735" width="17.42578125" style="537" customWidth="1"/>
    <col min="9736" max="9736" width="11.28515625" style="537" bestFit="1" customWidth="1"/>
    <col min="9737" max="9984" width="9.140625" style="537"/>
    <col min="9985" max="9985" width="4.7109375" style="537" customWidth="1"/>
    <col min="9986" max="9986" width="44.85546875" style="537" customWidth="1"/>
    <col min="9987" max="9987" width="14.5703125" style="537" customWidth="1"/>
    <col min="9988" max="9988" width="16.28515625" style="537" customWidth="1"/>
    <col min="9989" max="9989" width="38.7109375" style="537" customWidth="1"/>
    <col min="9990" max="9990" width="12.7109375" style="537" customWidth="1"/>
    <col min="9991" max="9991" width="17.42578125" style="537" customWidth="1"/>
    <col min="9992" max="9992" width="11.28515625" style="537" bestFit="1" customWidth="1"/>
    <col min="9993" max="10240" width="9.140625" style="537"/>
    <col min="10241" max="10241" width="4.7109375" style="537" customWidth="1"/>
    <col min="10242" max="10242" width="44.85546875" style="537" customWidth="1"/>
    <col min="10243" max="10243" width="14.5703125" style="537" customWidth="1"/>
    <col min="10244" max="10244" width="16.28515625" style="537" customWidth="1"/>
    <col min="10245" max="10245" width="38.7109375" style="537" customWidth="1"/>
    <col min="10246" max="10246" width="12.7109375" style="537" customWidth="1"/>
    <col min="10247" max="10247" width="17.42578125" style="537" customWidth="1"/>
    <col min="10248" max="10248" width="11.28515625" style="537" bestFit="1" customWidth="1"/>
    <col min="10249" max="10496" width="9.140625" style="537"/>
    <col min="10497" max="10497" width="4.7109375" style="537" customWidth="1"/>
    <col min="10498" max="10498" width="44.85546875" style="537" customWidth="1"/>
    <col min="10499" max="10499" width="14.5703125" style="537" customWidth="1"/>
    <col min="10500" max="10500" width="16.28515625" style="537" customWidth="1"/>
    <col min="10501" max="10501" width="38.7109375" style="537" customWidth="1"/>
    <col min="10502" max="10502" width="12.7109375" style="537" customWidth="1"/>
    <col min="10503" max="10503" width="17.42578125" style="537" customWidth="1"/>
    <col min="10504" max="10504" width="11.28515625" style="537" bestFit="1" customWidth="1"/>
    <col min="10505" max="10752" width="9.140625" style="537"/>
    <col min="10753" max="10753" width="4.7109375" style="537" customWidth="1"/>
    <col min="10754" max="10754" width="44.85546875" style="537" customWidth="1"/>
    <col min="10755" max="10755" width="14.5703125" style="537" customWidth="1"/>
    <col min="10756" max="10756" width="16.28515625" style="537" customWidth="1"/>
    <col min="10757" max="10757" width="38.7109375" style="537" customWidth="1"/>
    <col min="10758" max="10758" width="12.7109375" style="537" customWidth="1"/>
    <col min="10759" max="10759" width="17.42578125" style="537" customWidth="1"/>
    <col min="10760" max="10760" width="11.28515625" style="537" bestFit="1" customWidth="1"/>
    <col min="10761" max="11008" width="9.140625" style="537"/>
    <col min="11009" max="11009" width="4.7109375" style="537" customWidth="1"/>
    <col min="11010" max="11010" width="44.85546875" style="537" customWidth="1"/>
    <col min="11011" max="11011" width="14.5703125" style="537" customWidth="1"/>
    <col min="11012" max="11012" width="16.28515625" style="537" customWidth="1"/>
    <col min="11013" max="11013" width="38.7109375" style="537" customWidth="1"/>
    <col min="11014" max="11014" width="12.7109375" style="537" customWidth="1"/>
    <col min="11015" max="11015" width="17.42578125" style="537" customWidth="1"/>
    <col min="11016" max="11016" width="11.28515625" style="537" bestFit="1" customWidth="1"/>
    <col min="11017" max="11264" width="9.140625" style="537"/>
    <col min="11265" max="11265" width="4.7109375" style="537" customWidth="1"/>
    <col min="11266" max="11266" width="44.85546875" style="537" customWidth="1"/>
    <col min="11267" max="11267" width="14.5703125" style="537" customWidth="1"/>
    <col min="11268" max="11268" width="16.28515625" style="537" customWidth="1"/>
    <col min="11269" max="11269" width="38.7109375" style="537" customWidth="1"/>
    <col min="11270" max="11270" width="12.7109375" style="537" customWidth="1"/>
    <col min="11271" max="11271" width="17.42578125" style="537" customWidth="1"/>
    <col min="11272" max="11272" width="11.28515625" style="537" bestFit="1" customWidth="1"/>
    <col min="11273" max="11520" width="9.140625" style="537"/>
    <col min="11521" max="11521" width="4.7109375" style="537" customWidth="1"/>
    <col min="11522" max="11522" width="44.85546875" style="537" customWidth="1"/>
    <col min="11523" max="11523" width="14.5703125" style="537" customWidth="1"/>
    <col min="11524" max="11524" width="16.28515625" style="537" customWidth="1"/>
    <col min="11525" max="11525" width="38.7109375" style="537" customWidth="1"/>
    <col min="11526" max="11526" width="12.7109375" style="537" customWidth="1"/>
    <col min="11527" max="11527" width="17.42578125" style="537" customWidth="1"/>
    <col min="11528" max="11528" width="11.28515625" style="537" bestFit="1" customWidth="1"/>
    <col min="11529" max="11776" width="9.140625" style="537"/>
    <col min="11777" max="11777" width="4.7109375" style="537" customWidth="1"/>
    <col min="11778" max="11778" width="44.85546875" style="537" customWidth="1"/>
    <col min="11779" max="11779" width="14.5703125" style="537" customWidth="1"/>
    <col min="11780" max="11780" width="16.28515625" style="537" customWidth="1"/>
    <col min="11781" max="11781" width="38.7109375" style="537" customWidth="1"/>
    <col min="11782" max="11782" width="12.7109375" style="537" customWidth="1"/>
    <col min="11783" max="11783" width="17.42578125" style="537" customWidth="1"/>
    <col min="11784" max="11784" width="11.28515625" style="537" bestFit="1" customWidth="1"/>
    <col min="11785" max="12032" width="9.140625" style="537"/>
    <col min="12033" max="12033" width="4.7109375" style="537" customWidth="1"/>
    <col min="12034" max="12034" width="44.85546875" style="537" customWidth="1"/>
    <col min="12035" max="12035" width="14.5703125" style="537" customWidth="1"/>
    <col min="12036" max="12036" width="16.28515625" style="537" customWidth="1"/>
    <col min="12037" max="12037" width="38.7109375" style="537" customWidth="1"/>
    <col min="12038" max="12038" width="12.7109375" style="537" customWidth="1"/>
    <col min="12039" max="12039" width="17.42578125" style="537" customWidth="1"/>
    <col min="12040" max="12040" width="11.28515625" style="537" bestFit="1" customWidth="1"/>
    <col min="12041" max="12288" width="9.140625" style="537"/>
    <col min="12289" max="12289" width="4.7109375" style="537" customWidth="1"/>
    <col min="12290" max="12290" width="44.85546875" style="537" customWidth="1"/>
    <col min="12291" max="12291" width="14.5703125" style="537" customWidth="1"/>
    <col min="12292" max="12292" width="16.28515625" style="537" customWidth="1"/>
    <col min="12293" max="12293" width="38.7109375" style="537" customWidth="1"/>
    <col min="12294" max="12294" width="12.7109375" style="537" customWidth="1"/>
    <col min="12295" max="12295" width="17.42578125" style="537" customWidth="1"/>
    <col min="12296" max="12296" width="11.28515625" style="537" bestFit="1" customWidth="1"/>
    <col min="12297" max="12544" width="9.140625" style="537"/>
    <col min="12545" max="12545" width="4.7109375" style="537" customWidth="1"/>
    <col min="12546" max="12546" width="44.85546875" style="537" customWidth="1"/>
    <col min="12547" max="12547" width="14.5703125" style="537" customWidth="1"/>
    <col min="12548" max="12548" width="16.28515625" style="537" customWidth="1"/>
    <col min="12549" max="12549" width="38.7109375" style="537" customWidth="1"/>
    <col min="12550" max="12550" width="12.7109375" style="537" customWidth="1"/>
    <col min="12551" max="12551" width="17.42578125" style="537" customWidth="1"/>
    <col min="12552" max="12552" width="11.28515625" style="537" bestFit="1" customWidth="1"/>
    <col min="12553" max="12800" width="9.140625" style="537"/>
    <col min="12801" max="12801" width="4.7109375" style="537" customWidth="1"/>
    <col min="12802" max="12802" width="44.85546875" style="537" customWidth="1"/>
    <col min="12803" max="12803" width="14.5703125" style="537" customWidth="1"/>
    <col min="12804" max="12804" width="16.28515625" style="537" customWidth="1"/>
    <col min="12805" max="12805" width="38.7109375" style="537" customWidth="1"/>
    <col min="12806" max="12806" width="12.7109375" style="537" customWidth="1"/>
    <col min="12807" max="12807" width="17.42578125" style="537" customWidth="1"/>
    <col min="12808" max="12808" width="11.28515625" style="537" bestFit="1" customWidth="1"/>
    <col min="12809" max="13056" width="9.140625" style="537"/>
    <col min="13057" max="13057" width="4.7109375" style="537" customWidth="1"/>
    <col min="13058" max="13058" width="44.85546875" style="537" customWidth="1"/>
    <col min="13059" max="13059" width="14.5703125" style="537" customWidth="1"/>
    <col min="13060" max="13060" width="16.28515625" style="537" customWidth="1"/>
    <col min="13061" max="13061" width="38.7109375" style="537" customWidth="1"/>
    <col min="13062" max="13062" width="12.7109375" style="537" customWidth="1"/>
    <col min="13063" max="13063" width="17.42578125" style="537" customWidth="1"/>
    <col min="13064" max="13064" width="11.28515625" style="537" bestFit="1" customWidth="1"/>
    <col min="13065" max="13312" width="9.140625" style="537"/>
    <col min="13313" max="13313" width="4.7109375" style="537" customWidth="1"/>
    <col min="13314" max="13314" width="44.85546875" style="537" customWidth="1"/>
    <col min="13315" max="13315" width="14.5703125" style="537" customWidth="1"/>
    <col min="13316" max="13316" width="16.28515625" style="537" customWidth="1"/>
    <col min="13317" max="13317" width="38.7109375" style="537" customWidth="1"/>
    <col min="13318" max="13318" width="12.7109375" style="537" customWidth="1"/>
    <col min="13319" max="13319" width="17.42578125" style="537" customWidth="1"/>
    <col min="13320" max="13320" width="11.28515625" style="537" bestFit="1" customWidth="1"/>
    <col min="13321" max="13568" width="9.140625" style="537"/>
    <col min="13569" max="13569" width="4.7109375" style="537" customWidth="1"/>
    <col min="13570" max="13570" width="44.85546875" style="537" customWidth="1"/>
    <col min="13571" max="13571" width="14.5703125" style="537" customWidth="1"/>
    <col min="13572" max="13572" width="16.28515625" style="537" customWidth="1"/>
    <col min="13573" max="13573" width="38.7109375" style="537" customWidth="1"/>
    <col min="13574" max="13574" width="12.7109375" style="537" customWidth="1"/>
    <col min="13575" max="13575" width="17.42578125" style="537" customWidth="1"/>
    <col min="13576" max="13576" width="11.28515625" style="537" bestFit="1" customWidth="1"/>
    <col min="13577" max="13824" width="9.140625" style="537"/>
    <col min="13825" max="13825" width="4.7109375" style="537" customWidth="1"/>
    <col min="13826" max="13826" width="44.85546875" style="537" customWidth="1"/>
    <col min="13827" max="13827" width="14.5703125" style="537" customWidth="1"/>
    <col min="13828" max="13828" width="16.28515625" style="537" customWidth="1"/>
    <col min="13829" max="13829" width="38.7109375" style="537" customWidth="1"/>
    <col min="13830" max="13830" width="12.7109375" style="537" customWidth="1"/>
    <col min="13831" max="13831" width="17.42578125" style="537" customWidth="1"/>
    <col min="13832" max="13832" width="11.28515625" style="537" bestFit="1" customWidth="1"/>
    <col min="13833" max="14080" width="9.140625" style="537"/>
    <col min="14081" max="14081" width="4.7109375" style="537" customWidth="1"/>
    <col min="14082" max="14082" width="44.85546875" style="537" customWidth="1"/>
    <col min="14083" max="14083" width="14.5703125" style="537" customWidth="1"/>
    <col min="14084" max="14084" width="16.28515625" style="537" customWidth="1"/>
    <col min="14085" max="14085" width="38.7109375" style="537" customWidth="1"/>
    <col min="14086" max="14086" width="12.7109375" style="537" customWidth="1"/>
    <col min="14087" max="14087" width="17.42578125" style="537" customWidth="1"/>
    <col min="14088" max="14088" width="11.28515625" style="537" bestFit="1" customWidth="1"/>
    <col min="14089" max="14336" width="9.140625" style="537"/>
    <col min="14337" max="14337" width="4.7109375" style="537" customWidth="1"/>
    <col min="14338" max="14338" width="44.85546875" style="537" customWidth="1"/>
    <col min="14339" max="14339" width="14.5703125" style="537" customWidth="1"/>
    <col min="14340" max="14340" width="16.28515625" style="537" customWidth="1"/>
    <col min="14341" max="14341" width="38.7109375" style="537" customWidth="1"/>
    <col min="14342" max="14342" width="12.7109375" style="537" customWidth="1"/>
    <col min="14343" max="14343" width="17.42578125" style="537" customWidth="1"/>
    <col min="14344" max="14344" width="11.28515625" style="537" bestFit="1" customWidth="1"/>
    <col min="14345" max="14592" width="9.140625" style="537"/>
    <col min="14593" max="14593" width="4.7109375" style="537" customWidth="1"/>
    <col min="14594" max="14594" width="44.85546875" style="537" customWidth="1"/>
    <col min="14595" max="14595" width="14.5703125" style="537" customWidth="1"/>
    <col min="14596" max="14596" width="16.28515625" style="537" customWidth="1"/>
    <col min="14597" max="14597" width="38.7109375" style="537" customWidth="1"/>
    <col min="14598" max="14598" width="12.7109375" style="537" customWidth="1"/>
    <col min="14599" max="14599" width="17.42578125" style="537" customWidth="1"/>
    <col min="14600" max="14600" width="11.28515625" style="537" bestFit="1" customWidth="1"/>
    <col min="14601" max="14848" width="9.140625" style="537"/>
    <col min="14849" max="14849" width="4.7109375" style="537" customWidth="1"/>
    <col min="14850" max="14850" width="44.85546875" style="537" customWidth="1"/>
    <col min="14851" max="14851" width="14.5703125" style="537" customWidth="1"/>
    <col min="14852" max="14852" width="16.28515625" style="537" customWidth="1"/>
    <col min="14853" max="14853" width="38.7109375" style="537" customWidth="1"/>
    <col min="14854" max="14854" width="12.7109375" style="537" customWidth="1"/>
    <col min="14855" max="14855" width="17.42578125" style="537" customWidth="1"/>
    <col min="14856" max="14856" width="11.28515625" style="537" bestFit="1" customWidth="1"/>
    <col min="14857" max="15104" width="9.140625" style="537"/>
    <col min="15105" max="15105" width="4.7109375" style="537" customWidth="1"/>
    <col min="15106" max="15106" width="44.85546875" style="537" customWidth="1"/>
    <col min="15107" max="15107" width="14.5703125" style="537" customWidth="1"/>
    <col min="15108" max="15108" width="16.28515625" style="537" customWidth="1"/>
    <col min="15109" max="15109" width="38.7109375" style="537" customWidth="1"/>
    <col min="15110" max="15110" width="12.7109375" style="537" customWidth="1"/>
    <col min="15111" max="15111" width="17.42578125" style="537" customWidth="1"/>
    <col min="15112" max="15112" width="11.28515625" style="537" bestFit="1" customWidth="1"/>
    <col min="15113" max="15360" width="9.140625" style="537"/>
    <col min="15361" max="15361" width="4.7109375" style="537" customWidth="1"/>
    <col min="15362" max="15362" width="44.85546875" style="537" customWidth="1"/>
    <col min="15363" max="15363" width="14.5703125" style="537" customWidth="1"/>
    <col min="15364" max="15364" width="16.28515625" style="537" customWidth="1"/>
    <col min="15365" max="15365" width="38.7109375" style="537" customWidth="1"/>
    <col min="15366" max="15366" width="12.7109375" style="537" customWidth="1"/>
    <col min="15367" max="15367" width="17.42578125" style="537" customWidth="1"/>
    <col min="15368" max="15368" width="11.28515625" style="537" bestFit="1" customWidth="1"/>
    <col min="15369" max="15616" width="9.140625" style="537"/>
    <col min="15617" max="15617" width="4.7109375" style="537" customWidth="1"/>
    <col min="15618" max="15618" width="44.85546875" style="537" customWidth="1"/>
    <col min="15619" max="15619" width="14.5703125" style="537" customWidth="1"/>
    <col min="15620" max="15620" width="16.28515625" style="537" customWidth="1"/>
    <col min="15621" max="15621" width="38.7109375" style="537" customWidth="1"/>
    <col min="15622" max="15622" width="12.7109375" style="537" customWidth="1"/>
    <col min="15623" max="15623" width="17.42578125" style="537" customWidth="1"/>
    <col min="15624" max="15624" width="11.28515625" style="537" bestFit="1" customWidth="1"/>
    <col min="15625" max="15872" width="9.140625" style="537"/>
    <col min="15873" max="15873" width="4.7109375" style="537" customWidth="1"/>
    <col min="15874" max="15874" width="44.85546875" style="537" customWidth="1"/>
    <col min="15875" max="15875" width="14.5703125" style="537" customWidth="1"/>
    <col min="15876" max="15876" width="16.28515625" style="537" customWidth="1"/>
    <col min="15877" max="15877" width="38.7109375" style="537" customWidth="1"/>
    <col min="15878" max="15878" width="12.7109375" style="537" customWidth="1"/>
    <col min="15879" max="15879" width="17.42578125" style="537" customWidth="1"/>
    <col min="15880" max="15880" width="11.28515625" style="537" bestFit="1" customWidth="1"/>
    <col min="15881" max="16128" width="9.140625" style="537"/>
    <col min="16129" max="16129" width="4.7109375" style="537" customWidth="1"/>
    <col min="16130" max="16130" width="44.85546875" style="537" customWidth="1"/>
    <col min="16131" max="16131" width="14.5703125" style="537" customWidth="1"/>
    <col min="16132" max="16132" width="16.28515625" style="537" customWidth="1"/>
    <col min="16133" max="16133" width="38.7109375" style="537" customWidth="1"/>
    <col min="16134" max="16134" width="12.7109375" style="537" customWidth="1"/>
    <col min="16135" max="16135" width="17.42578125" style="537" customWidth="1"/>
    <col min="16136" max="16136" width="11.28515625" style="537" bestFit="1" customWidth="1"/>
    <col min="16137" max="16384" width="9.140625" style="537"/>
  </cols>
  <sheetData>
    <row r="1" spans="1:12" ht="18" customHeight="1" x14ac:dyDescent="0.2">
      <c r="C1" s="538"/>
      <c r="F1" s="538"/>
    </row>
    <row r="2" spans="1:12" ht="18" customHeight="1" x14ac:dyDescent="0.2">
      <c r="C2" s="540"/>
      <c r="F2" s="540"/>
    </row>
    <row r="3" spans="1:12" ht="18" customHeight="1" x14ac:dyDescent="0.2">
      <c r="B3" s="540"/>
      <c r="C3" s="540"/>
      <c r="F3" s="540"/>
    </row>
    <row r="4" spans="1:12" x14ac:dyDescent="0.2">
      <c r="B4" s="540"/>
      <c r="C4" s="537"/>
      <c r="D4" s="541"/>
    </row>
    <row r="5" spans="1:12" ht="18.75" x14ac:dyDescent="0.2">
      <c r="A5" s="644" t="s">
        <v>300</v>
      </c>
      <c r="B5" s="644"/>
      <c r="C5" s="644"/>
      <c r="D5" s="644"/>
      <c r="E5" s="644"/>
      <c r="F5" s="644"/>
      <c r="G5" s="644"/>
    </row>
    <row r="6" spans="1:12" s="543" customFormat="1" ht="66" customHeight="1" x14ac:dyDescent="0.2">
      <c r="A6" s="645" t="s">
        <v>342</v>
      </c>
      <c r="B6" s="645"/>
      <c r="C6" s="645"/>
      <c r="D6" s="645"/>
      <c r="E6" s="645"/>
      <c r="F6" s="645"/>
      <c r="G6" s="645"/>
      <c r="H6" s="542"/>
    </row>
    <row r="7" spans="1:12" s="543" customFormat="1" ht="9" customHeight="1" thickBot="1" x14ac:dyDescent="0.25">
      <c r="A7" s="544"/>
      <c r="B7" s="545"/>
      <c r="C7" s="545"/>
      <c r="D7" s="545"/>
      <c r="E7" s="546"/>
    </row>
    <row r="8" spans="1:12" s="547" customFormat="1" x14ac:dyDescent="0.2">
      <c r="A8" s="646" t="s">
        <v>23</v>
      </c>
      <c r="B8" s="648" t="s">
        <v>67</v>
      </c>
      <c r="C8" s="650" t="s">
        <v>301</v>
      </c>
      <c r="D8" s="652" t="s">
        <v>302</v>
      </c>
      <c r="E8" s="654" t="s">
        <v>303</v>
      </c>
      <c r="F8" s="655"/>
      <c r="G8" s="652" t="s">
        <v>304</v>
      </c>
    </row>
    <row r="9" spans="1:12" s="547" customFormat="1" ht="26.25" thickBot="1" x14ac:dyDescent="0.25">
      <c r="A9" s="647"/>
      <c r="B9" s="649"/>
      <c r="C9" s="651"/>
      <c r="D9" s="653"/>
      <c r="E9" s="611" t="s">
        <v>301</v>
      </c>
      <c r="F9" s="612" t="s">
        <v>305</v>
      </c>
      <c r="G9" s="653"/>
    </row>
    <row r="10" spans="1:12" ht="28.5" x14ac:dyDescent="0.2">
      <c r="A10" s="584"/>
      <c r="B10" s="580" t="s">
        <v>68</v>
      </c>
      <c r="C10" s="588"/>
      <c r="D10" s="596"/>
      <c r="E10" s="591"/>
      <c r="F10" s="601"/>
      <c r="G10" s="607"/>
    </row>
    <row r="11" spans="1:12" ht="45" x14ac:dyDescent="0.2">
      <c r="A11" s="585">
        <v>1</v>
      </c>
      <c r="B11" s="6" t="s">
        <v>194</v>
      </c>
      <c r="C11" s="589" t="s">
        <v>308</v>
      </c>
      <c r="D11" s="597">
        <f>'Геол, экол, геод'!G35</f>
        <v>29207.699999999997</v>
      </c>
      <c r="E11" s="592" t="s">
        <v>307</v>
      </c>
      <c r="F11" s="602">
        <v>3.93</v>
      </c>
      <c r="G11" s="608">
        <f>ROUND(D11*F11,2)</f>
        <v>114786.26</v>
      </c>
      <c r="H11" s="541"/>
      <c r="I11" s="541"/>
      <c r="J11" s="541"/>
      <c r="K11" s="541"/>
      <c r="L11" s="549"/>
    </row>
    <row r="12" spans="1:12" x14ac:dyDescent="0.2">
      <c r="A12" s="586"/>
      <c r="B12" s="550" t="s">
        <v>69</v>
      </c>
      <c r="C12" s="590"/>
      <c r="D12" s="598">
        <f>SUM(D11:D11)</f>
        <v>29207.699999999997</v>
      </c>
      <c r="E12" s="593"/>
      <c r="F12" s="603"/>
      <c r="G12" s="598">
        <f>SUM(G11:G11)</f>
        <v>114786.26</v>
      </c>
    </row>
    <row r="13" spans="1:12" x14ac:dyDescent="0.2">
      <c r="A13" s="585"/>
      <c r="B13" s="548" t="s">
        <v>70</v>
      </c>
      <c r="C13" s="589"/>
      <c r="D13" s="599"/>
      <c r="E13" s="593"/>
      <c r="F13" s="604"/>
      <c r="G13" s="609"/>
      <c r="H13" s="547"/>
      <c r="I13" s="547"/>
      <c r="J13" s="547"/>
    </row>
    <row r="14" spans="1:12" ht="36" x14ac:dyDescent="0.2">
      <c r="A14" s="585">
        <v>2</v>
      </c>
      <c r="B14" s="6" t="s">
        <v>71</v>
      </c>
      <c r="C14" s="589" t="s">
        <v>306</v>
      </c>
      <c r="D14" s="597">
        <f>Т.с.!H77</f>
        <v>404105.39</v>
      </c>
      <c r="E14" s="592" t="s">
        <v>309</v>
      </c>
      <c r="F14" s="605">
        <v>3.5329999999999999</v>
      </c>
      <c r="G14" s="608">
        <f>ROUND(D14*F14,2)</f>
        <v>1427704.34</v>
      </c>
      <c r="H14" s="541"/>
      <c r="I14" s="541"/>
      <c r="J14" s="541"/>
      <c r="K14" s="541"/>
      <c r="L14" s="549"/>
    </row>
    <row r="15" spans="1:12" ht="36" x14ac:dyDescent="0.2">
      <c r="A15" s="585">
        <v>3</v>
      </c>
      <c r="B15" s="6" t="s">
        <v>72</v>
      </c>
      <c r="C15" s="589" t="s">
        <v>310</v>
      </c>
      <c r="D15" s="597">
        <f>'ООС+ТР'!H61</f>
        <v>65624.5</v>
      </c>
      <c r="E15" s="592" t="s">
        <v>309</v>
      </c>
      <c r="F15" s="605">
        <v>3.5329999999999999</v>
      </c>
      <c r="G15" s="608">
        <f>ROUND(D15*F15,2)</f>
        <v>231851.36</v>
      </c>
      <c r="H15" s="541"/>
      <c r="I15" s="541"/>
      <c r="J15" s="541"/>
      <c r="K15" s="541"/>
      <c r="L15" s="549"/>
    </row>
    <row r="16" spans="1:12" ht="36" x14ac:dyDescent="0.2">
      <c r="A16" s="585">
        <v>4</v>
      </c>
      <c r="B16" s="7" t="s">
        <v>80</v>
      </c>
      <c r="C16" s="589" t="s">
        <v>311</v>
      </c>
      <c r="D16" s="597">
        <f>ПОЖ!H21</f>
        <v>8000</v>
      </c>
      <c r="E16" s="592" t="s">
        <v>309</v>
      </c>
      <c r="F16" s="605">
        <v>3.5329999999999999</v>
      </c>
      <c r="G16" s="608">
        <f>ROUND(D16*F16,2)</f>
        <v>28264</v>
      </c>
      <c r="H16" s="541"/>
      <c r="I16" s="541"/>
      <c r="J16" s="541"/>
      <c r="K16" s="541"/>
      <c r="L16" s="549"/>
    </row>
    <row r="17" spans="1:12" ht="36" x14ac:dyDescent="0.2">
      <c r="A17" s="585">
        <v>5</v>
      </c>
      <c r="B17" s="204" t="s">
        <v>299</v>
      </c>
      <c r="C17" s="589" t="s">
        <v>313</v>
      </c>
      <c r="D17" s="597">
        <f>РДП!H21</f>
        <v>67849.2</v>
      </c>
      <c r="E17" s="592" t="s">
        <v>312</v>
      </c>
      <c r="F17" s="605">
        <v>3.92</v>
      </c>
      <c r="G17" s="608">
        <f>ROUND(D17*F17,2)</f>
        <v>265968.86</v>
      </c>
      <c r="H17" s="541"/>
      <c r="I17" s="541"/>
      <c r="J17" s="541"/>
      <c r="K17" s="541"/>
      <c r="L17" s="549"/>
    </row>
    <row r="18" spans="1:12" ht="36" x14ac:dyDescent="0.2">
      <c r="A18" s="585">
        <v>6</v>
      </c>
      <c r="B18" s="204" t="s">
        <v>175</v>
      </c>
      <c r="C18" s="589" t="s">
        <v>314</v>
      </c>
      <c r="D18" s="597">
        <f>СОГЛ!G17</f>
        <v>27256.22</v>
      </c>
      <c r="E18" s="592" t="s">
        <v>309</v>
      </c>
      <c r="F18" s="605">
        <v>3.5329999999999999</v>
      </c>
      <c r="G18" s="608">
        <f t="shared" ref="G18" si="0">ROUND(D18*F18,2)</f>
        <v>96296.23</v>
      </c>
    </row>
    <row r="19" spans="1:12" ht="19.5" customHeight="1" x14ac:dyDescent="0.2">
      <c r="A19" s="585"/>
      <c r="B19" s="551" t="s">
        <v>94</v>
      </c>
      <c r="C19" s="589"/>
      <c r="D19" s="599">
        <f>SUM(D14:D18)</f>
        <v>572835.30999999994</v>
      </c>
      <c r="E19" s="594"/>
      <c r="F19" s="603"/>
      <c r="G19" s="598">
        <f>ROUND(SUM(G14:G18),2)</f>
        <v>2050084.79</v>
      </c>
    </row>
    <row r="20" spans="1:12" s="552" customFormat="1" ht="19.5" customHeight="1" thickBot="1" x14ac:dyDescent="0.25">
      <c r="A20" s="587"/>
      <c r="B20" s="641" t="s">
        <v>315</v>
      </c>
      <c r="C20" s="642"/>
      <c r="D20" s="600">
        <f>ROUND(D12+D19,2)</f>
        <v>602043.01</v>
      </c>
      <c r="E20" s="595"/>
      <c r="F20" s="606"/>
      <c r="G20" s="610">
        <f>G12+G19</f>
        <v>2164871.0499999998</v>
      </c>
    </row>
    <row r="21" spans="1:12" s="1" customFormat="1" x14ac:dyDescent="0.2">
      <c r="D21" s="2"/>
      <c r="E21" s="553"/>
      <c r="G21" s="5"/>
      <c r="H21" s="4"/>
    </row>
    <row r="22" spans="1:12" s="558" customFormat="1" ht="14.25" x14ac:dyDescent="0.2">
      <c r="A22" s="554"/>
      <c r="B22" s="643" t="s">
        <v>86</v>
      </c>
      <c r="C22" s="643"/>
      <c r="D22" s="555"/>
      <c r="E22" s="556"/>
      <c r="F22" s="556"/>
      <c r="G22" s="557">
        <f>G20</f>
        <v>2164871.0499999998</v>
      </c>
    </row>
    <row r="23" spans="1:12" s="558" customFormat="1" x14ac:dyDescent="0.2">
      <c r="A23" s="554"/>
      <c r="B23" s="643" t="s">
        <v>1</v>
      </c>
      <c r="C23" s="643"/>
      <c r="D23" s="555"/>
      <c r="E23" s="556"/>
      <c r="F23" s="556"/>
      <c r="G23" s="559">
        <f>ROUND(G22*0.18,2)</f>
        <v>389676.79</v>
      </c>
    </row>
    <row r="24" spans="1:12" s="558" customFormat="1" x14ac:dyDescent="0.2">
      <c r="A24" s="554"/>
      <c r="B24" s="643" t="s">
        <v>87</v>
      </c>
      <c r="C24" s="643"/>
      <c r="D24" s="555"/>
      <c r="E24" s="556"/>
      <c r="F24" s="556"/>
      <c r="G24" s="559">
        <f>ROUND(SUM(G22:G23),2)</f>
        <v>2554547.84</v>
      </c>
    </row>
    <row r="25" spans="1:12" s="563" customFormat="1" x14ac:dyDescent="0.2">
      <c r="A25" s="543"/>
      <c r="B25" s="560"/>
      <c r="C25" s="561"/>
      <c r="D25" s="562"/>
      <c r="E25" s="546"/>
    </row>
    <row r="26" spans="1:12" s="563" customFormat="1" x14ac:dyDescent="0.2">
      <c r="A26" s="543"/>
      <c r="B26" s="560"/>
      <c r="C26" s="561"/>
      <c r="D26" s="562"/>
      <c r="E26" s="546"/>
    </row>
    <row r="27" spans="1:12" s="563" customFormat="1" x14ac:dyDescent="0.2">
      <c r="A27" s="543"/>
      <c r="B27" s="560"/>
      <c r="C27" s="561"/>
      <c r="D27" s="562"/>
      <c r="E27" s="546"/>
    </row>
    <row r="28" spans="1:12" s="563" customFormat="1" x14ac:dyDescent="0.2">
      <c r="A28" s="543"/>
      <c r="B28" s="560"/>
      <c r="C28" s="561"/>
      <c r="D28" s="562"/>
      <c r="E28" s="546"/>
    </row>
    <row r="29" spans="1:12" s="564" customFormat="1" x14ac:dyDescent="0.2">
      <c r="A29" s="543"/>
      <c r="B29" s="1"/>
      <c r="C29" s="1"/>
      <c r="D29" s="1"/>
      <c r="E29" s="1"/>
      <c r="G29" s="565"/>
    </row>
    <row r="30" spans="1:12" s="566" customFormat="1" x14ac:dyDescent="0.2">
      <c r="A30" s="543"/>
      <c r="B30" s="498"/>
      <c r="C30" s="498"/>
      <c r="D30" s="498"/>
      <c r="E30" s="498"/>
      <c r="F30" s="552"/>
    </row>
    <row r="31" spans="1:12" s="566" customFormat="1" x14ac:dyDescent="0.2">
      <c r="A31" s="543"/>
      <c r="B31" s="498"/>
      <c r="C31" s="498"/>
      <c r="D31" s="498"/>
      <c r="E31" s="498"/>
      <c r="F31" s="552"/>
    </row>
    <row r="32" spans="1:12" s="543" customFormat="1" x14ac:dyDescent="0.2">
      <c r="A32" s="564"/>
      <c r="B32" s="1"/>
      <c r="C32" s="1"/>
      <c r="D32" s="1"/>
      <c r="E32" s="2"/>
    </row>
    <row r="33" spans="1:5" s="543" customFormat="1" x14ac:dyDescent="0.2">
      <c r="A33" s="564"/>
      <c r="B33" s="1"/>
      <c r="C33" s="1"/>
      <c r="D33" s="1"/>
      <c r="E33" s="1"/>
    </row>
    <row r="34" spans="1:5" s="543" customFormat="1" x14ac:dyDescent="0.2">
      <c r="A34" s="564"/>
      <c r="B34" s="567"/>
      <c r="C34" s="567"/>
      <c r="D34" s="568"/>
      <c r="E34" s="569"/>
    </row>
    <row r="35" spans="1:5" s="543" customFormat="1" x14ac:dyDescent="0.2">
      <c r="A35" s="564"/>
      <c r="B35" s="567"/>
      <c r="C35" s="567"/>
      <c r="D35" s="568"/>
      <c r="E35" s="570"/>
    </row>
    <row r="36" spans="1:5" s="543" customFormat="1" x14ac:dyDescent="0.2">
      <c r="A36" s="564"/>
      <c r="B36" s="567"/>
      <c r="C36" s="567"/>
      <c r="D36" s="568"/>
      <c r="E36" s="569"/>
    </row>
    <row r="37" spans="1:5" x14ac:dyDescent="0.2">
      <c r="A37" s="543"/>
      <c r="B37" s="560"/>
      <c r="C37" s="561"/>
      <c r="D37" s="562"/>
      <c r="E37" s="546"/>
    </row>
    <row r="38" spans="1:5" x14ac:dyDescent="0.2">
      <c r="A38" s="543"/>
      <c r="B38" s="560"/>
      <c r="C38" s="561"/>
      <c r="D38" s="562"/>
      <c r="E38" s="546"/>
    </row>
    <row r="39" spans="1:5" x14ac:dyDescent="0.2">
      <c r="A39" s="543"/>
      <c r="B39" s="543"/>
      <c r="C39" s="571"/>
      <c r="D39" s="572"/>
      <c r="E39" s="546"/>
    </row>
    <row r="40" spans="1:5" x14ac:dyDescent="0.2">
      <c r="A40" s="573"/>
      <c r="D40" s="574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view="pageBreakPreview" topLeftCell="A61" zoomScaleNormal="100" zoomScaleSheetLayoutView="100" workbookViewId="0">
      <selection activeCell="G1" sqref="G1:G3"/>
    </sheetView>
  </sheetViews>
  <sheetFormatPr defaultRowHeight="12.75" x14ac:dyDescent="0.2"/>
  <cols>
    <col min="1" max="1" width="3.85546875" style="264" customWidth="1"/>
    <col min="2" max="2" width="37.7109375" style="264" customWidth="1"/>
    <col min="3" max="3" width="12" style="267" customWidth="1"/>
    <col min="4" max="4" width="12.425781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15" style="236" customWidth="1"/>
    <col min="10" max="10" width="6.42578125" style="268" customWidth="1"/>
    <col min="11" max="11" width="10.5703125" style="268" customWidth="1"/>
    <col min="12" max="12" width="11.85546875" style="268" customWidth="1"/>
    <col min="13" max="13" width="7.42578125" style="268" customWidth="1"/>
    <col min="14" max="14" width="7.5703125" style="268" customWidth="1"/>
    <col min="15" max="16384" width="9.140625" style="264"/>
  </cols>
  <sheetData>
    <row r="1" spans="1:14" x14ac:dyDescent="0.2">
      <c r="C1" s="178"/>
      <c r="G1" s="15"/>
      <c r="H1" s="255"/>
    </row>
    <row r="2" spans="1:14" x14ac:dyDescent="0.2">
      <c r="C2" s="178"/>
      <c r="G2" s="15"/>
      <c r="H2" s="256"/>
    </row>
    <row r="3" spans="1:14" x14ac:dyDescent="0.2">
      <c r="C3" s="178"/>
      <c r="G3" s="262"/>
      <c r="H3" s="256"/>
    </row>
    <row r="4" spans="1:14" s="329" customFormat="1" ht="6.75" customHeight="1" x14ac:dyDescent="0.2">
      <c r="A4" s="326"/>
      <c r="B4" s="326"/>
      <c r="C4" s="327"/>
      <c r="D4" s="326"/>
      <c r="E4" s="326"/>
      <c r="F4" s="326"/>
      <c r="G4" s="326"/>
      <c r="H4" s="327"/>
      <c r="I4" s="328"/>
    </row>
    <row r="5" spans="1:14" ht="17.25" hidden="1" customHeight="1" x14ac:dyDescent="0.2">
      <c r="D5" s="18"/>
      <c r="F5" s="19"/>
      <c r="G5" s="324"/>
    </row>
    <row r="6" spans="1:14" ht="16.5" customHeight="1" x14ac:dyDescent="0.2">
      <c r="A6" s="690" t="s">
        <v>75</v>
      </c>
      <c r="B6" s="690"/>
      <c r="C6" s="690"/>
      <c r="D6" s="690"/>
      <c r="E6" s="690"/>
      <c r="F6" s="690"/>
      <c r="G6" s="690"/>
      <c r="H6" s="690"/>
    </row>
    <row r="7" spans="1:14" ht="16.5" customHeight="1" x14ac:dyDescent="0.2">
      <c r="A7" s="323"/>
      <c r="B7" s="323"/>
      <c r="C7" s="178"/>
      <c r="D7" s="323"/>
      <c r="E7" s="323"/>
      <c r="F7" s="323"/>
      <c r="G7" s="323"/>
      <c r="H7" s="178"/>
    </row>
    <row r="8" spans="1:14" ht="51" customHeight="1" x14ac:dyDescent="0.2">
      <c r="A8" s="691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здание»,  расположенного по адресу:
г. Москва, Бродников пер., д.7, стр.2.</v>
      </c>
      <c r="B8" s="691"/>
      <c r="C8" s="691"/>
      <c r="D8" s="691"/>
      <c r="E8" s="691"/>
      <c r="F8" s="691"/>
      <c r="G8" s="691"/>
      <c r="H8" s="691"/>
    </row>
    <row r="9" spans="1:14" ht="12" customHeight="1" x14ac:dyDescent="0.2">
      <c r="A9" s="691"/>
      <c r="B9" s="691"/>
      <c r="C9" s="691"/>
      <c r="D9" s="691"/>
      <c r="E9" s="691"/>
      <c r="F9" s="691"/>
      <c r="G9" s="691"/>
      <c r="H9" s="691"/>
    </row>
    <row r="10" spans="1:14" x14ac:dyDescent="0.2">
      <c r="A10" s="691" t="s">
        <v>91</v>
      </c>
      <c r="B10" s="691"/>
      <c r="C10" s="691"/>
      <c r="D10" s="691"/>
      <c r="E10" s="691"/>
      <c r="F10" s="691"/>
      <c r="G10" s="691"/>
      <c r="H10" s="691"/>
    </row>
    <row r="11" spans="1:14" x14ac:dyDescent="0.2">
      <c r="A11" s="692" t="s">
        <v>123</v>
      </c>
      <c r="B11" s="692"/>
      <c r="C11" s="692"/>
      <c r="D11" s="692"/>
      <c r="E11" s="692"/>
      <c r="F11" s="692"/>
      <c r="G11" s="692"/>
      <c r="H11" s="692"/>
    </row>
    <row r="12" spans="1:14" ht="18" customHeight="1" x14ac:dyDescent="0.2">
      <c r="A12" s="692" t="s">
        <v>124</v>
      </c>
      <c r="B12" s="692"/>
      <c r="C12" s="692"/>
      <c r="D12" s="692"/>
      <c r="E12" s="692"/>
      <c r="F12" s="692"/>
      <c r="G12" s="692"/>
      <c r="H12" s="692"/>
    </row>
    <row r="13" spans="1:14" ht="9.75" customHeight="1" thickBot="1" x14ac:dyDescent="0.25">
      <c r="B13" s="21"/>
      <c r="D13" s="264"/>
      <c r="I13" s="237"/>
      <c r="J13" s="22"/>
      <c r="K13" s="22"/>
      <c r="L13" s="22"/>
      <c r="M13" s="22"/>
      <c r="N13" s="22"/>
    </row>
    <row r="14" spans="1:14" ht="39" customHeight="1" thickBot="1" x14ac:dyDescent="0.25">
      <c r="A14" s="23" t="s">
        <v>23</v>
      </c>
      <c r="B14" s="666" t="s">
        <v>3</v>
      </c>
      <c r="C14" s="667"/>
      <c r="D14" s="24" t="s">
        <v>9</v>
      </c>
      <c r="E14" s="25" t="s">
        <v>4</v>
      </c>
      <c r="F14" s="26" t="s">
        <v>5</v>
      </c>
      <c r="G14" s="322" t="s">
        <v>0</v>
      </c>
      <c r="H14" s="24" t="s">
        <v>6</v>
      </c>
    </row>
    <row r="15" spans="1:14" ht="13.5" thickBot="1" x14ac:dyDescent="0.25">
      <c r="A15" s="27"/>
      <c r="B15" s="666" t="s">
        <v>95</v>
      </c>
      <c r="C15" s="689"/>
      <c r="D15" s="689"/>
      <c r="E15" s="689"/>
      <c r="F15" s="689"/>
      <c r="G15" s="689"/>
      <c r="H15" s="667"/>
    </row>
    <row r="16" spans="1:14" ht="14.25" thickBot="1" x14ac:dyDescent="0.3">
      <c r="A16" s="656" t="s">
        <v>319</v>
      </c>
      <c r="B16" s="657"/>
      <c r="C16" s="657"/>
      <c r="D16" s="657"/>
      <c r="E16" s="657"/>
      <c r="F16" s="657"/>
      <c r="G16" s="657"/>
      <c r="H16" s="658"/>
    </row>
    <row r="17" spans="1:8" x14ac:dyDescent="0.2">
      <c r="A17" s="659">
        <v>1</v>
      </c>
      <c r="B17" s="301" t="s">
        <v>195</v>
      </c>
      <c r="C17" s="302">
        <f>C22+C21</f>
        <v>25.5</v>
      </c>
      <c r="D17" s="291">
        <f>ROUND(C19+C17*C20,2)</f>
        <v>25200</v>
      </c>
      <c r="E17" s="581"/>
      <c r="F17" s="582"/>
      <c r="G17" s="303"/>
      <c r="H17" s="279"/>
    </row>
    <row r="18" spans="1:8" ht="25.5" x14ac:dyDescent="0.2">
      <c r="A18" s="660"/>
      <c r="B18" s="304" t="s">
        <v>334</v>
      </c>
      <c r="C18" s="305"/>
      <c r="D18" s="280"/>
      <c r="E18" s="372" t="s">
        <v>277</v>
      </c>
      <c r="F18" s="283">
        <v>1.1000000000000001</v>
      </c>
      <c r="G18" s="281"/>
      <c r="H18" s="282"/>
    </row>
    <row r="19" spans="1:8" ht="25.5" x14ac:dyDescent="0.2">
      <c r="A19" s="660"/>
      <c r="B19" s="306" t="s">
        <v>316</v>
      </c>
      <c r="C19" s="292">
        <v>25200</v>
      </c>
      <c r="D19" s="280"/>
      <c r="E19" s="372" t="s">
        <v>278</v>
      </c>
      <c r="F19" s="283">
        <v>1.1499999999999999</v>
      </c>
      <c r="G19" s="281"/>
      <c r="H19" s="468"/>
    </row>
    <row r="20" spans="1:8" x14ac:dyDescent="0.2">
      <c r="A20" s="660"/>
      <c r="B20" s="307" t="s">
        <v>12</v>
      </c>
      <c r="C20" s="292"/>
      <c r="D20" s="280"/>
      <c r="E20" s="372" t="s">
        <v>320</v>
      </c>
      <c r="F20" s="283">
        <v>1.75</v>
      </c>
      <c r="G20" s="286"/>
      <c r="H20" s="287"/>
    </row>
    <row r="21" spans="1:8" x14ac:dyDescent="0.2">
      <c r="A21" s="629"/>
      <c r="B21" s="583" t="s">
        <v>335</v>
      </c>
      <c r="C21" s="316">
        <v>23.5</v>
      </c>
      <c r="E21" s="372"/>
      <c r="F21" s="283"/>
      <c r="G21" s="320" t="str">
        <f>CONCATENATE(D17,"*",F18,"*",F20,"*",C21,"/",C17)</f>
        <v>25200*1,1*1,75*23,5/25,5</v>
      </c>
      <c r="H21" s="282">
        <f>ROUND(D17*F18*F20*C21/C17,2)</f>
        <v>44705.29</v>
      </c>
    </row>
    <row r="22" spans="1:8" ht="39" thickBot="1" x14ac:dyDescent="0.25">
      <c r="A22" s="629"/>
      <c r="B22" s="312" t="s">
        <v>321</v>
      </c>
      <c r="C22" s="316">
        <v>2</v>
      </c>
      <c r="D22" s="280"/>
      <c r="E22" s="372" t="s">
        <v>322</v>
      </c>
      <c r="F22" s="283">
        <v>2</v>
      </c>
      <c r="G22" s="320" t="str">
        <f>CONCATENATE(D17,"*",F22,"*",C22,"/",C17)</f>
        <v>25200*2*2/25,5</v>
      </c>
      <c r="H22" s="282">
        <f>ROUND(D17*F22*C22/C17,2)</f>
        <v>3952.94</v>
      </c>
    </row>
    <row r="23" spans="1:8" x14ac:dyDescent="0.2">
      <c r="A23" s="659">
        <v>2</v>
      </c>
      <c r="B23" s="632" t="s">
        <v>336</v>
      </c>
      <c r="C23" s="633">
        <f>C21</f>
        <v>23.5</v>
      </c>
      <c r="D23" s="9">
        <f>ROUND(C24+C23*C25,2)</f>
        <v>158000</v>
      </c>
      <c r="E23" s="272"/>
      <c r="F23" s="270"/>
      <c r="G23" s="271"/>
      <c r="H23" s="273"/>
    </row>
    <row r="24" spans="1:8" ht="25.5" x14ac:dyDescent="0.2">
      <c r="A24" s="660"/>
      <c r="B24" s="631" t="s">
        <v>337</v>
      </c>
      <c r="C24" s="634">
        <v>158000</v>
      </c>
      <c r="D24" s="10"/>
      <c r="E24" s="635" t="s">
        <v>338</v>
      </c>
      <c r="F24" s="269">
        <v>0.3</v>
      </c>
      <c r="G24" s="636" t="str">
        <f>CONCATENATE(D23,"*",F24)</f>
        <v>158000*0,3</v>
      </c>
      <c r="H24" s="11">
        <f>ROUND(D23*F24,2)</f>
        <v>47400</v>
      </c>
    </row>
    <row r="25" spans="1:8" ht="13.5" thickBot="1" x14ac:dyDescent="0.25">
      <c r="A25" s="682"/>
      <c r="B25" s="637" t="s">
        <v>12</v>
      </c>
      <c r="C25" s="638"/>
      <c r="D25" s="300"/>
      <c r="E25" s="639"/>
      <c r="F25" s="217"/>
      <c r="G25" s="296"/>
      <c r="H25" s="297"/>
    </row>
    <row r="26" spans="1:8" ht="14.25" thickBot="1" x14ac:dyDescent="0.3">
      <c r="A26" s="656" t="s">
        <v>323</v>
      </c>
      <c r="B26" s="657"/>
      <c r="C26" s="657"/>
      <c r="D26" s="657"/>
      <c r="E26" s="657"/>
      <c r="F26" s="657"/>
      <c r="G26" s="657"/>
      <c r="H26" s="658"/>
    </row>
    <row r="27" spans="1:8" ht="13.5" thickBot="1" x14ac:dyDescent="0.25">
      <c r="A27" s="630"/>
      <c r="B27" s="293" t="s">
        <v>324</v>
      </c>
      <c r="C27" s="317"/>
      <c r="D27" s="294"/>
      <c r="E27" s="295"/>
      <c r="F27" s="269"/>
      <c r="G27" s="296"/>
      <c r="H27" s="297"/>
    </row>
    <row r="28" spans="1:8" ht="25.5" x14ac:dyDescent="0.2">
      <c r="A28" s="683">
        <v>3</v>
      </c>
      <c r="B28" s="482" t="s">
        <v>280</v>
      </c>
      <c r="C28" s="483">
        <f>(4.2+4.6)*2*2</f>
        <v>35.200000000000003</v>
      </c>
      <c r="D28" s="291">
        <f>C30+C31*C28</f>
        <v>89000</v>
      </c>
      <c r="E28" s="368"/>
      <c r="F28" s="270"/>
      <c r="G28" s="271" t="str">
        <f>CONCATENATE(D28," * ",F29," * ",F30)</f>
        <v>89000 * 1 * 1</v>
      </c>
      <c r="H28" s="279">
        <f>ROUND(D28*F29*F30,2)</f>
        <v>89000</v>
      </c>
    </row>
    <row r="29" spans="1:8" x14ac:dyDescent="0.2">
      <c r="A29" s="684"/>
      <c r="B29" s="484" t="s">
        <v>333</v>
      </c>
      <c r="C29" s="575"/>
      <c r="D29" s="280"/>
      <c r="E29" s="369" t="s">
        <v>281</v>
      </c>
      <c r="F29" s="283">
        <v>1</v>
      </c>
      <c r="G29" s="286"/>
      <c r="H29" s="287"/>
    </row>
    <row r="30" spans="1:8" ht="25.5" x14ac:dyDescent="0.2">
      <c r="A30" s="684"/>
      <c r="B30" s="285" t="s">
        <v>282</v>
      </c>
      <c r="C30" s="485">
        <v>89000</v>
      </c>
      <c r="D30" s="486"/>
      <c r="E30" s="370" t="s">
        <v>324</v>
      </c>
      <c r="F30" s="283">
        <v>1</v>
      </c>
      <c r="G30" s="286"/>
      <c r="H30" s="284"/>
    </row>
    <row r="31" spans="1:8" ht="13.5" thickBot="1" x14ac:dyDescent="0.25">
      <c r="A31" s="685"/>
      <c r="B31" s="288" t="s">
        <v>12</v>
      </c>
      <c r="C31" s="533"/>
      <c r="D31" s="487"/>
      <c r="E31" s="488"/>
      <c r="F31" s="489"/>
      <c r="G31" s="298"/>
      <c r="H31" s="290"/>
    </row>
    <row r="32" spans="1:8" ht="13.5" thickBot="1" x14ac:dyDescent="0.25">
      <c r="A32" s="630"/>
      <c r="B32" s="293" t="s">
        <v>201</v>
      </c>
      <c r="C32" s="317"/>
      <c r="D32" s="294"/>
      <c r="E32" s="295"/>
      <c r="F32" s="269"/>
      <c r="G32" s="296"/>
      <c r="H32" s="297"/>
    </row>
    <row r="33" spans="1:8" ht="25.5" x14ac:dyDescent="0.2">
      <c r="A33" s="683">
        <v>4</v>
      </c>
      <c r="B33" s="285" t="s">
        <v>202</v>
      </c>
      <c r="C33" s="318"/>
      <c r="D33" s="299">
        <f>ROUND(C35+C33*C36,2)</f>
        <v>11000</v>
      </c>
      <c r="E33" s="368"/>
      <c r="F33" s="270"/>
      <c r="G33" s="271" t="str">
        <f>CONCATENATE(D33," * ",F34," * ",F35)</f>
        <v>11000 * 1 * 1</v>
      </c>
      <c r="H33" s="279">
        <f>ROUND(D33*F34*F35,2)</f>
        <v>11000</v>
      </c>
    </row>
    <row r="34" spans="1:8" x14ac:dyDescent="0.2">
      <c r="A34" s="684"/>
      <c r="B34" s="308"/>
      <c r="C34" s="292"/>
      <c r="D34" s="280"/>
      <c r="E34" s="369" t="s">
        <v>203</v>
      </c>
      <c r="F34" s="283">
        <v>1</v>
      </c>
      <c r="G34" s="286"/>
      <c r="H34" s="287"/>
    </row>
    <row r="35" spans="1:8" x14ac:dyDescent="0.2">
      <c r="A35" s="684"/>
      <c r="B35" s="285" t="s">
        <v>325</v>
      </c>
      <c r="C35" s="292">
        <v>11000</v>
      </c>
      <c r="D35" s="280"/>
      <c r="E35" s="370" t="s">
        <v>201</v>
      </c>
      <c r="F35" s="283">
        <v>1</v>
      </c>
      <c r="G35" s="286"/>
      <c r="H35" s="284"/>
    </row>
    <row r="36" spans="1:8" ht="13.5" thickBot="1" x14ac:dyDescent="0.25">
      <c r="A36" s="685"/>
      <c r="B36" s="288" t="s">
        <v>12</v>
      </c>
      <c r="C36" s="319"/>
      <c r="D36" s="300"/>
      <c r="E36" s="371"/>
      <c r="F36" s="289"/>
      <c r="G36" s="298"/>
      <c r="H36" s="290"/>
    </row>
    <row r="37" spans="1:8" ht="14.25" thickBot="1" x14ac:dyDescent="0.25">
      <c r="A37" s="686" t="s">
        <v>339</v>
      </c>
      <c r="B37" s="687"/>
      <c r="C37" s="687"/>
      <c r="D37" s="687"/>
      <c r="E37" s="687"/>
      <c r="F37" s="687"/>
      <c r="G37" s="687"/>
      <c r="H37" s="688"/>
    </row>
    <row r="38" spans="1:8" x14ac:dyDescent="0.2">
      <c r="A38" s="659">
        <v>5</v>
      </c>
      <c r="B38" s="613" t="s">
        <v>326</v>
      </c>
      <c r="C38" s="614">
        <v>20</v>
      </c>
      <c r="D38" s="615">
        <f>ROUND(C40+C38*C41,2)</f>
        <v>82000</v>
      </c>
      <c r="E38" s="272"/>
      <c r="F38" s="270"/>
      <c r="G38" s="271" t="str">
        <f>CONCATENATE(D38," * ",F39)</f>
        <v>82000 * 0,4</v>
      </c>
      <c r="H38" s="273">
        <f>ROUND(D38*F39,2)</f>
        <v>32800</v>
      </c>
    </row>
    <row r="39" spans="1:8" ht="25.5" x14ac:dyDescent="0.2">
      <c r="A39" s="660"/>
      <c r="B39" s="304" t="s">
        <v>340</v>
      </c>
      <c r="C39" s="616"/>
      <c r="D39" s="280"/>
      <c r="E39" s="467" t="s">
        <v>327</v>
      </c>
      <c r="F39" s="269">
        <v>0.4</v>
      </c>
      <c r="G39" s="274"/>
      <c r="H39" s="11"/>
    </row>
    <row r="40" spans="1:8" x14ac:dyDescent="0.2">
      <c r="A40" s="660"/>
      <c r="B40" s="617" t="s">
        <v>328</v>
      </c>
      <c r="C40" s="618">
        <v>82000</v>
      </c>
      <c r="D40" s="280"/>
      <c r="E40" s="619"/>
      <c r="F40" s="275"/>
      <c r="G40" s="274"/>
      <c r="H40" s="276"/>
    </row>
    <row r="41" spans="1:8" ht="13.5" thickBot="1" x14ac:dyDescent="0.25">
      <c r="A41" s="682"/>
      <c r="B41" s="620" t="s">
        <v>12</v>
      </c>
      <c r="C41" s="533"/>
      <c r="D41" s="487"/>
      <c r="E41" s="621"/>
      <c r="F41" s="235"/>
      <c r="G41" s="298"/>
      <c r="H41" s="297"/>
    </row>
    <row r="42" spans="1:8" ht="14.25" thickBot="1" x14ac:dyDescent="0.25">
      <c r="A42" s="686" t="s">
        <v>329</v>
      </c>
      <c r="B42" s="687"/>
      <c r="C42" s="687"/>
      <c r="D42" s="687"/>
      <c r="E42" s="687"/>
      <c r="F42" s="687"/>
      <c r="G42" s="687"/>
      <c r="H42" s="688"/>
    </row>
    <row r="43" spans="1:8" ht="25.5" x14ac:dyDescent="0.2">
      <c r="A43" s="699">
        <v>6</v>
      </c>
      <c r="B43" s="482" t="s">
        <v>330</v>
      </c>
      <c r="C43" s="483">
        <f>(4.2+4.2)*2*2</f>
        <v>33.6</v>
      </c>
      <c r="D43" s="9">
        <f>ROUND(C45+C43*C46,2)</f>
        <v>59000</v>
      </c>
      <c r="E43" s="622"/>
      <c r="F43" s="622"/>
      <c r="G43" s="622"/>
      <c r="H43" s="623"/>
    </row>
    <row r="44" spans="1:8" x14ac:dyDescent="0.2">
      <c r="A44" s="700"/>
      <c r="B44" s="484" t="s">
        <v>341</v>
      </c>
      <c r="C44" s="624"/>
      <c r="D44" s="280"/>
      <c r="E44" s="369" t="s">
        <v>281</v>
      </c>
      <c r="F44" s="283">
        <v>3</v>
      </c>
      <c r="G44" s="625" t="str">
        <f>CONCATENATE(D43," * ",F45," * ",F44)</f>
        <v>59000 * 0,4 * 3</v>
      </c>
      <c r="H44" s="282">
        <f>ROUND(D43*F45*F44,2)</f>
        <v>70800</v>
      </c>
    </row>
    <row r="45" spans="1:8" ht="25.5" x14ac:dyDescent="0.2">
      <c r="A45" s="700"/>
      <c r="B45" s="285" t="s">
        <v>331</v>
      </c>
      <c r="C45" s="618">
        <v>59000</v>
      </c>
      <c r="D45" s="10"/>
      <c r="E45" s="372" t="s">
        <v>327</v>
      </c>
      <c r="F45" s="283">
        <v>0.4</v>
      </c>
      <c r="G45" s="286"/>
      <c r="H45" s="287"/>
    </row>
    <row r="46" spans="1:8" ht="13.5" thickBot="1" x14ac:dyDescent="0.25">
      <c r="A46" s="701"/>
      <c r="B46" s="288" t="s">
        <v>12</v>
      </c>
      <c r="C46" s="533"/>
      <c r="D46" s="487"/>
      <c r="E46" s="626"/>
      <c r="F46" s="289"/>
      <c r="G46" s="627"/>
      <c r="H46" s="290"/>
    </row>
    <row r="47" spans="1:8" ht="25.5" x14ac:dyDescent="0.2">
      <c r="A47" s="699">
        <v>7</v>
      </c>
      <c r="B47" s="482" t="s">
        <v>332</v>
      </c>
      <c r="C47" s="628"/>
      <c r="D47" s="291">
        <f>ROUND(C48+C47*0,2)</f>
        <v>11000</v>
      </c>
      <c r="E47" s="369" t="s">
        <v>203</v>
      </c>
      <c r="F47" s="283">
        <v>2</v>
      </c>
      <c r="G47" s="625" t="str">
        <f>CONCATENATE(D47," * ",F48," * ",F47)</f>
        <v>11000 * 0,4 * 2</v>
      </c>
      <c r="H47" s="282">
        <f>ROUND(D47*F48*F47,2)</f>
        <v>8800</v>
      </c>
    </row>
    <row r="48" spans="1:8" ht="25.5" x14ac:dyDescent="0.2">
      <c r="A48" s="700"/>
      <c r="B48" s="285" t="s">
        <v>325</v>
      </c>
      <c r="C48" s="618">
        <v>11000</v>
      </c>
      <c r="D48" s="280"/>
      <c r="E48" s="372" t="s">
        <v>327</v>
      </c>
      <c r="F48" s="283">
        <v>0.4</v>
      </c>
      <c r="G48" s="286"/>
      <c r="H48" s="287"/>
    </row>
    <row r="49" spans="1:14" ht="13.5" thickBot="1" x14ac:dyDescent="0.25">
      <c r="A49" s="701"/>
      <c r="B49" s="288" t="s">
        <v>12</v>
      </c>
      <c r="C49" s="533"/>
      <c r="D49" s="487"/>
      <c r="E49" s="626"/>
      <c r="F49" s="289"/>
      <c r="G49" s="627"/>
      <c r="H49" s="290"/>
    </row>
    <row r="50" spans="1:14" ht="14.25" customHeight="1" thickBot="1" x14ac:dyDescent="0.3">
      <c r="A50" s="656" t="s">
        <v>204</v>
      </c>
      <c r="B50" s="657"/>
      <c r="C50" s="657"/>
      <c r="D50" s="657"/>
      <c r="E50" s="657"/>
      <c r="F50" s="657"/>
      <c r="G50" s="657"/>
      <c r="H50" s="658"/>
    </row>
    <row r="51" spans="1:14" ht="12.75" customHeight="1" x14ac:dyDescent="0.2">
      <c r="A51" s="659">
        <v>8</v>
      </c>
      <c r="B51" s="697" t="s">
        <v>196</v>
      </c>
      <c r="C51" s="469">
        <f>C17</f>
        <v>25.5</v>
      </c>
      <c r="D51" s="9">
        <f>ROUND(C53+C51*C54,2)</f>
        <v>21000</v>
      </c>
      <c r="E51" s="272"/>
      <c r="F51" s="270"/>
      <c r="G51" s="271">
        <f>ROUND(D51,2)</f>
        <v>21000</v>
      </c>
      <c r="H51" s="273">
        <f>ROUND(D51,2)</f>
        <v>21000</v>
      </c>
    </row>
    <row r="52" spans="1:14" ht="24.75" customHeight="1" x14ac:dyDescent="0.2">
      <c r="A52" s="660"/>
      <c r="B52" s="698"/>
      <c r="C52" s="470"/>
      <c r="D52" s="10"/>
      <c r="E52" s="467"/>
      <c r="F52" s="269"/>
      <c r="G52" s="274"/>
      <c r="H52" s="11"/>
    </row>
    <row r="53" spans="1:14" x14ac:dyDescent="0.2">
      <c r="A53" s="660"/>
      <c r="B53" s="536" t="s">
        <v>197</v>
      </c>
      <c r="C53" s="471">
        <v>21000</v>
      </c>
      <c r="D53" s="10"/>
      <c r="E53" s="467"/>
      <c r="F53" s="275"/>
      <c r="G53" s="274"/>
      <c r="H53" s="276"/>
    </row>
    <row r="54" spans="1:14" ht="13.5" thickBot="1" x14ac:dyDescent="0.25">
      <c r="A54" s="682"/>
      <c r="B54" s="309" t="s">
        <v>12</v>
      </c>
      <c r="C54" s="471"/>
      <c r="D54" s="10"/>
      <c r="E54" s="467"/>
      <c r="F54" s="275"/>
      <c r="G54" s="310"/>
      <c r="H54" s="311"/>
    </row>
    <row r="55" spans="1:14" ht="13.5" thickBot="1" x14ac:dyDescent="0.25">
      <c r="A55" s="325"/>
      <c r="B55" s="679" t="s">
        <v>84</v>
      </c>
      <c r="C55" s="680"/>
      <c r="D55" s="680"/>
      <c r="E55" s="680"/>
      <c r="F55" s="680"/>
      <c r="G55" s="681"/>
      <c r="H55" s="257">
        <f>SUM(H17:H54)</f>
        <v>329458.23</v>
      </c>
    </row>
    <row r="56" spans="1:14" ht="23.25" thickBot="1" x14ac:dyDescent="0.25">
      <c r="A56" s="28"/>
      <c r="B56" s="678" t="s">
        <v>96</v>
      </c>
      <c r="C56" s="678"/>
      <c r="D56" s="678"/>
      <c r="E56" s="321" t="s">
        <v>210</v>
      </c>
      <c r="F56" s="30">
        <v>1.02</v>
      </c>
      <c r="G56" s="31" t="str">
        <f>CONCATENATE(H55," * ",F56)</f>
        <v>329458,23 * 1,02</v>
      </c>
      <c r="H56" s="46">
        <f>ROUND(H55*F56,2)</f>
        <v>336047.39</v>
      </c>
    </row>
    <row r="57" spans="1:14" ht="13.5" thickBot="1" x14ac:dyDescent="0.25">
      <c r="A57" s="675" t="s">
        <v>13</v>
      </c>
      <c r="B57" s="676"/>
      <c r="C57" s="676"/>
      <c r="D57" s="676"/>
      <c r="E57" s="676"/>
      <c r="F57" s="676"/>
      <c r="G57" s="676"/>
      <c r="H57" s="677"/>
    </row>
    <row r="58" spans="1:14" ht="21.75" customHeight="1" x14ac:dyDescent="0.2">
      <c r="A58" s="705" t="s">
        <v>2</v>
      </c>
      <c r="B58" s="706"/>
      <c r="C58" s="706"/>
      <c r="D58" s="706"/>
      <c r="E58" s="706"/>
      <c r="F58" s="706"/>
      <c r="G58" s="706"/>
      <c r="H58" s="707"/>
      <c r="J58" s="702" t="s">
        <v>144</v>
      </c>
      <c r="K58" s="702" t="s">
        <v>145</v>
      </c>
      <c r="L58" s="702" t="s">
        <v>146</v>
      </c>
      <c r="M58" s="702" t="s">
        <v>147</v>
      </c>
      <c r="N58" s="702"/>
    </row>
    <row r="59" spans="1:14" ht="26.25" thickBot="1" x14ac:dyDescent="0.25">
      <c r="A59" s="703" t="s">
        <v>116</v>
      </c>
      <c r="B59" s="692"/>
      <c r="C59" s="692"/>
      <c r="D59" s="692"/>
      <c r="E59" s="692"/>
      <c r="F59" s="692"/>
      <c r="G59" s="692"/>
      <c r="H59" s="704"/>
      <c r="J59" s="702"/>
      <c r="K59" s="702"/>
      <c r="L59" s="702"/>
      <c r="M59" s="330" t="s">
        <v>148</v>
      </c>
      <c r="N59" s="330" t="s">
        <v>149</v>
      </c>
    </row>
    <row r="60" spans="1:14" ht="26.25" customHeight="1" thickBot="1" x14ac:dyDescent="0.25">
      <c r="A60" s="25" t="s">
        <v>17</v>
      </c>
      <c r="B60" s="666" t="s">
        <v>3</v>
      </c>
      <c r="C60" s="667"/>
      <c r="D60" s="24" t="s">
        <v>9</v>
      </c>
      <c r="E60" s="25" t="s">
        <v>4</v>
      </c>
      <c r="F60" s="26" t="s">
        <v>5</v>
      </c>
      <c r="G60" s="322" t="s">
        <v>0</v>
      </c>
      <c r="H60" s="24" t="s">
        <v>6</v>
      </c>
      <c r="J60" s="694">
        <v>1</v>
      </c>
      <c r="K60" s="694" t="s">
        <v>150</v>
      </c>
      <c r="L60" s="331" t="s">
        <v>151</v>
      </c>
      <c r="M60" s="331">
        <v>54</v>
      </c>
      <c r="N60" s="331" t="s">
        <v>152</v>
      </c>
    </row>
    <row r="61" spans="1:14" x14ac:dyDescent="0.2">
      <c r="A61" s="668">
        <v>1</v>
      </c>
      <c r="B61" s="32" t="s">
        <v>117</v>
      </c>
      <c r="C61" s="472">
        <f>C69</f>
        <v>2.5499999999999998E-2</v>
      </c>
      <c r="D61" s="258">
        <f>ROUND(C62+C63*C61,2)</f>
        <v>54000</v>
      </c>
      <c r="E61" s="33"/>
      <c r="F61" s="34"/>
      <c r="G61" s="35">
        <f>ROUND(D61,2)</f>
        <v>54000</v>
      </c>
      <c r="H61" s="36">
        <f>ROUND(G61,2)</f>
        <v>54000</v>
      </c>
      <c r="J61" s="694"/>
      <c r="K61" s="694"/>
      <c r="L61" s="331" t="s">
        <v>153</v>
      </c>
      <c r="M61" s="331">
        <v>7</v>
      </c>
      <c r="N61" s="331">
        <v>94</v>
      </c>
    </row>
    <row r="62" spans="1:14" x14ac:dyDescent="0.2">
      <c r="A62" s="668"/>
      <c r="B62" s="37" t="s">
        <v>7</v>
      </c>
      <c r="C62" s="313">
        <v>54000</v>
      </c>
      <c r="D62" s="258"/>
      <c r="E62" s="33"/>
      <c r="F62" s="34"/>
      <c r="G62" s="38"/>
      <c r="H62" s="36"/>
      <c r="J62" s="694"/>
      <c r="K62" s="694"/>
      <c r="L62" s="331" t="s">
        <v>154</v>
      </c>
      <c r="M62" s="331">
        <v>12.5</v>
      </c>
      <c r="N62" s="331">
        <v>88.5</v>
      </c>
    </row>
    <row r="63" spans="1:14" ht="13.5" thickBot="1" x14ac:dyDescent="0.25">
      <c r="A63" s="668"/>
      <c r="B63" s="37" t="s">
        <v>8</v>
      </c>
      <c r="C63" s="313"/>
      <c r="D63" s="258"/>
      <c r="E63" s="33"/>
      <c r="F63" s="34"/>
      <c r="G63" s="39"/>
      <c r="H63" s="11"/>
      <c r="I63" s="238"/>
      <c r="J63" s="694"/>
      <c r="K63" s="694"/>
      <c r="L63" s="331" t="s">
        <v>155</v>
      </c>
      <c r="M63" s="331">
        <v>100</v>
      </c>
      <c r="N63" s="331">
        <v>71</v>
      </c>
    </row>
    <row r="64" spans="1:14" ht="13.5" thickBot="1" x14ac:dyDescent="0.25">
      <c r="A64" s="40"/>
      <c r="B64" s="41" t="s">
        <v>18</v>
      </c>
      <c r="C64" s="314"/>
      <c r="D64" s="42"/>
      <c r="E64" s="43"/>
      <c r="F64" s="44"/>
      <c r="G64" s="45"/>
      <c r="H64" s="46">
        <f>H61</f>
        <v>54000</v>
      </c>
      <c r="I64" s="238"/>
      <c r="J64" s="694"/>
      <c r="K64" s="694"/>
      <c r="L64" s="331" t="s">
        <v>156</v>
      </c>
      <c r="M64" s="331">
        <v>234</v>
      </c>
      <c r="N64" s="331">
        <v>57.6</v>
      </c>
    </row>
    <row r="65" spans="1:18" ht="13.5" thickBot="1" x14ac:dyDescent="0.25">
      <c r="A65" s="669" t="s">
        <v>10</v>
      </c>
      <c r="B65" s="670"/>
      <c r="C65" s="670"/>
      <c r="D65" s="670"/>
      <c r="E65" s="670"/>
      <c r="F65" s="670"/>
      <c r="G65" s="670"/>
      <c r="H65" s="671"/>
      <c r="I65" s="238"/>
      <c r="J65" s="694"/>
      <c r="K65" s="694"/>
      <c r="L65" s="331" t="s">
        <v>157</v>
      </c>
      <c r="M65" s="331">
        <v>288</v>
      </c>
      <c r="N65" s="331">
        <v>54</v>
      </c>
    </row>
    <row r="66" spans="1:18" ht="31.5" customHeight="1" thickBot="1" x14ac:dyDescent="0.25">
      <c r="A66" s="662" t="s">
        <v>211</v>
      </c>
      <c r="B66" s="663"/>
      <c r="C66" s="663"/>
      <c r="D66" s="663"/>
      <c r="E66" s="663"/>
      <c r="F66" s="663"/>
      <c r="G66" s="663"/>
      <c r="H66" s="664"/>
      <c r="I66" s="238"/>
      <c r="J66" s="694"/>
      <c r="K66" s="694"/>
      <c r="L66" s="331" t="s">
        <v>158</v>
      </c>
      <c r="M66" s="331">
        <v>368</v>
      </c>
      <c r="N66" s="331">
        <v>50</v>
      </c>
    </row>
    <row r="67" spans="1:18" x14ac:dyDescent="0.2">
      <c r="A67" s="332"/>
      <c r="B67" s="333" t="s">
        <v>73</v>
      </c>
      <c r="C67" s="334">
        <f>C51</f>
        <v>25.5</v>
      </c>
      <c r="D67" s="335" t="s">
        <v>15</v>
      </c>
      <c r="E67" s="336"/>
      <c r="F67" s="336"/>
      <c r="G67" s="336"/>
      <c r="H67" s="337"/>
      <c r="I67" s="238"/>
      <c r="J67" s="694"/>
      <c r="K67" s="694"/>
      <c r="L67" s="331" t="s">
        <v>159</v>
      </c>
      <c r="M67" s="331">
        <v>707</v>
      </c>
      <c r="N67" s="331">
        <v>38.700000000000003</v>
      </c>
    </row>
    <row r="68" spans="1:18" ht="15" customHeight="1" x14ac:dyDescent="0.2">
      <c r="A68" s="338"/>
      <c r="B68" s="339" t="s">
        <v>118</v>
      </c>
      <c r="C68" s="340">
        <f>ROUND(C67*10,2)</f>
        <v>255</v>
      </c>
      <c r="D68" s="341" t="s">
        <v>119</v>
      </c>
      <c r="E68" s="342"/>
      <c r="F68" s="342"/>
      <c r="G68" s="342"/>
      <c r="H68" s="343"/>
      <c r="I68" s="238"/>
      <c r="J68" s="694"/>
      <c r="K68" s="694"/>
      <c r="L68" s="331" t="s">
        <v>160</v>
      </c>
      <c r="M68" s="331">
        <v>2255</v>
      </c>
      <c r="N68" s="331" t="s">
        <v>152</v>
      </c>
    </row>
    <row r="69" spans="1:18" ht="15.75" customHeight="1" thickBot="1" x14ac:dyDescent="0.25">
      <c r="A69" s="344"/>
      <c r="B69" s="345" t="s">
        <v>118</v>
      </c>
      <c r="C69" s="473">
        <f>ROUND(C68/10000,4)</f>
        <v>2.5499999999999998E-2</v>
      </c>
      <c r="D69" s="346" t="s">
        <v>16</v>
      </c>
      <c r="E69" s="347"/>
      <c r="F69" s="347"/>
      <c r="G69" s="347"/>
      <c r="H69" s="348"/>
      <c r="I69" s="238"/>
      <c r="J69" s="264"/>
      <c r="K69" s="264"/>
      <c r="L69" s="264"/>
      <c r="M69" s="264"/>
      <c r="N69" s="264"/>
    </row>
    <row r="70" spans="1:18" ht="16.5" customHeight="1" x14ac:dyDescent="0.2">
      <c r="A70" s="349"/>
      <c r="B70" s="665" t="s">
        <v>98</v>
      </c>
      <c r="C70" s="665"/>
      <c r="D70" s="665"/>
      <c r="E70" s="350"/>
      <c r="F70" s="351"/>
      <c r="G70" s="352" t="s">
        <v>14</v>
      </c>
      <c r="H70" s="353"/>
      <c r="I70" s="238"/>
      <c r="J70" s="264"/>
      <c r="K70" s="264"/>
      <c r="L70" s="264"/>
      <c r="M70" s="264"/>
      <c r="N70" s="264"/>
    </row>
    <row r="71" spans="1:18" s="48" customFormat="1" ht="24.75" customHeight="1" x14ac:dyDescent="0.2">
      <c r="A71" s="373">
        <v>1</v>
      </c>
      <c r="B71" s="374" t="s">
        <v>272</v>
      </c>
      <c r="C71" s="375"/>
      <c r="D71" s="376">
        <v>2038</v>
      </c>
      <c r="E71" s="367" t="s">
        <v>267</v>
      </c>
      <c r="F71" s="377">
        <v>0.75</v>
      </c>
      <c r="G71" s="47" t="str">
        <f>CONCATENATE(D71,"*",F71)</f>
        <v>2038*0,75</v>
      </c>
      <c r="H71" s="354">
        <f>ROUND(D71*F71,2)</f>
        <v>1528.5</v>
      </c>
      <c r="I71" s="239"/>
      <c r="J71" s="695" t="s">
        <v>162</v>
      </c>
      <c r="K71" s="695"/>
      <c r="L71" s="695"/>
      <c r="M71" s="695"/>
      <c r="N71" s="695"/>
    </row>
    <row r="72" spans="1:18" s="48" customFormat="1" ht="36.75" customHeight="1" x14ac:dyDescent="0.2">
      <c r="A72" s="373">
        <v>2</v>
      </c>
      <c r="B72" s="374" t="s">
        <v>273</v>
      </c>
      <c r="C72" s="375"/>
      <c r="D72" s="376">
        <v>8099</v>
      </c>
      <c r="E72" s="455" t="s">
        <v>268</v>
      </c>
      <c r="F72" s="377">
        <v>0.75</v>
      </c>
      <c r="G72" s="47" t="str">
        <f t="shared" ref="G72:G75" si="0">CONCATENATE(D72,"*",F72)</f>
        <v>8099*0,75</v>
      </c>
      <c r="H72" s="354">
        <f>ROUND(D72*F72,2)</f>
        <v>6074.25</v>
      </c>
      <c r="I72" s="239"/>
      <c r="J72" s="696" t="s">
        <v>161</v>
      </c>
      <c r="K72" s="696"/>
      <c r="L72" s="696"/>
      <c r="M72" s="696"/>
      <c r="N72" s="696"/>
    </row>
    <row r="73" spans="1:18" s="49" customFormat="1" ht="36.75" customHeight="1" x14ac:dyDescent="0.2">
      <c r="A73" s="373">
        <v>3</v>
      </c>
      <c r="B73" s="374" t="s">
        <v>274</v>
      </c>
      <c r="C73" s="375"/>
      <c r="D73" s="376">
        <v>2038</v>
      </c>
      <c r="E73" s="455" t="s">
        <v>269</v>
      </c>
      <c r="F73" s="377">
        <v>0.75</v>
      </c>
      <c r="G73" s="47" t="str">
        <f t="shared" si="0"/>
        <v>2038*0,75</v>
      </c>
      <c r="H73" s="354">
        <f>ROUND(D73*F73,2)</f>
        <v>1528.5</v>
      </c>
      <c r="I73" s="240"/>
      <c r="J73" s="696" t="s">
        <v>163</v>
      </c>
      <c r="K73" s="696"/>
      <c r="L73" s="696"/>
      <c r="M73" s="696"/>
      <c r="N73" s="696"/>
    </row>
    <row r="74" spans="1:18" s="49" customFormat="1" ht="24.75" customHeight="1" x14ac:dyDescent="0.2">
      <c r="A74" s="373">
        <v>4</v>
      </c>
      <c r="B74" s="374" t="s">
        <v>275</v>
      </c>
      <c r="C74" s="375"/>
      <c r="D74" s="376">
        <v>2495</v>
      </c>
      <c r="E74" s="455" t="s">
        <v>270</v>
      </c>
      <c r="F74" s="377">
        <v>0.75</v>
      </c>
      <c r="G74" s="47" t="str">
        <f t="shared" si="0"/>
        <v>2495*0,75</v>
      </c>
      <c r="H74" s="354">
        <f>ROUND(D74*F74,2)</f>
        <v>1871.25</v>
      </c>
      <c r="I74" s="240"/>
      <c r="J74" s="696" t="s">
        <v>164</v>
      </c>
      <c r="K74" s="696"/>
      <c r="L74" s="696"/>
      <c r="M74" s="696"/>
      <c r="N74" s="696"/>
    </row>
    <row r="75" spans="1:18" s="49" customFormat="1" ht="24.75" customHeight="1" thickBot="1" x14ac:dyDescent="0.25">
      <c r="A75" s="378">
        <v>5</v>
      </c>
      <c r="B75" s="379" t="s">
        <v>276</v>
      </c>
      <c r="C75" s="380"/>
      <c r="D75" s="381">
        <v>4074</v>
      </c>
      <c r="E75" s="455" t="s">
        <v>271</v>
      </c>
      <c r="F75" s="377">
        <v>0.75</v>
      </c>
      <c r="G75" s="47" t="str">
        <f t="shared" si="0"/>
        <v>4074*0,75</v>
      </c>
      <c r="H75" s="354">
        <f>ROUND(D75*F75,2)</f>
        <v>3055.5</v>
      </c>
      <c r="I75" s="240"/>
      <c r="J75" s="693" t="s">
        <v>165</v>
      </c>
      <c r="K75" s="693"/>
      <c r="L75" s="693"/>
      <c r="M75" s="693"/>
      <c r="N75" s="693"/>
    </row>
    <row r="76" spans="1:18" s="261" customFormat="1" ht="13.5" thickBot="1" x14ac:dyDescent="0.25">
      <c r="A76" s="355"/>
      <c r="B76" s="672" t="s">
        <v>11</v>
      </c>
      <c r="C76" s="673"/>
      <c r="D76" s="673"/>
      <c r="E76" s="673"/>
      <c r="F76" s="673"/>
      <c r="G76" s="674"/>
      <c r="H76" s="356">
        <f>SUM(H71:H75)</f>
        <v>14058</v>
      </c>
      <c r="I76" s="241"/>
      <c r="J76" s="357"/>
      <c r="K76" s="50"/>
      <c r="L76" s="50"/>
      <c r="M76" s="50"/>
      <c r="N76" s="50"/>
    </row>
    <row r="77" spans="1:18" s="49" customFormat="1" ht="13.5" thickBot="1" x14ac:dyDescent="0.25">
      <c r="A77" s="358"/>
      <c r="B77" s="359" t="s">
        <v>85</v>
      </c>
      <c r="C77" s="360"/>
      <c r="D77" s="361"/>
      <c r="E77" s="361"/>
      <c r="F77" s="361"/>
      <c r="G77" s="361"/>
      <c r="H77" s="46">
        <f>ROUND(H56+H64+H76,2)</f>
        <v>404105.39</v>
      </c>
      <c r="I77" s="362">
        <f>H55+H64+H76</f>
        <v>397516.23</v>
      </c>
      <c r="J77" s="240" t="s">
        <v>177</v>
      </c>
      <c r="O77" s="363"/>
      <c r="P77" s="364"/>
      <c r="Q77" s="365"/>
      <c r="R77" s="366"/>
    </row>
    <row r="78" spans="1:18" s="49" customFormat="1" ht="39.75" hidden="1" customHeight="1" thickBot="1" x14ac:dyDescent="0.25">
      <c r="A78" s="28"/>
      <c r="B78" s="661" t="s">
        <v>97</v>
      </c>
      <c r="C78" s="661"/>
      <c r="D78" s="661"/>
      <c r="E78" s="29" t="s">
        <v>120</v>
      </c>
      <c r="F78" s="263">
        <v>1</v>
      </c>
      <c r="G78" s="263" t="str">
        <f>CONCATENATE(H77," х ",F78)</f>
        <v>404105,39 х 1</v>
      </c>
      <c r="H78" s="46">
        <f>ROUND(H77*F78,2)</f>
        <v>404105.39</v>
      </c>
      <c r="I78" s="240"/>
      <c r="O78" s="363"/>
      <c r="P78" s="364"/>
      <c r="Q78" s="365"/>
      <c r="R78" s="366"/>
    </row>
    <row r="79" spans="1:18" s="49" customFormat="1" x14ac:dyDescent="0.2">
      <c r="A79" s="56"/>
      <c r="B79" s="57"/>
      <c r="C79" s="315"/>
      <c r="D79" s="57"/>
      <c r="E79" s="22"/>
      <c r="F79" s="58"/>
      <c r="G79" s="266"/>
      <c r="H79" s="59"/>
      <c r="I79" s="240"/>
      <c r="O79" s="363"/>
      <c r="P79" s="364"/>
      <c r="Q79" s="365"/>
      <c r="R79" s="366"/>
    </row>
    <row r="80" spans="1:18" s="49" customFormat="1" x14ac:dyDescent="0.2">
      <c r="A80" s="264"/>
      <c r="B80" s="264"/>
      <c r="C80" s="267"/>
      <c r="D80" s="265"/>
      <c r="E80" s="264"/>
      <c r="F80" s="266"/>
      <c r="G80" s="264"/>
      <c r="H80" s="267"/>
      <c r="I80" s="240"/>
      <c r="O80" s="363"/>
      <c r="P80" s="364"/>
      <c r="Q80" s="365"/>
      <c r="R80" s="366"/>
    </row>
    <row r="81" spans="1:18" s="49" customFormat="1" x14ac:dyDescent="0.2">
      <c r="A81" s="264"/>
      <c r="B81" s="264">
        <f>'С С Р'!B29</f>
        <v>0</v>
      </c>
      <c r="C81" s="267"/>
      <c r="D81" s="265"/>
      <c r="E81" s="264">
        <f>'С С Р'!E29</f>
        <v>0</v>
      </c>
      <c r="F81" s="266"/>
      <c r="G81" s="264"/>
      <c r="H81" s="267"/>
      <c r="I81" s="240"/>
      <c r="O81" s="363"/>
      <c r="P81" s="364"/>
      <c r="Q81" s="365"/>
      <c r="R81" s="366"/>
    </row>
    <row r="82" spans="1:18" s="49" customFormat="1" x14ac:dyDescent="0.2">
      <c r="A82" s="264"/>
      <c r="B82" s="264"/>
      <c r="C82" s="267"/>
      <c r="D82" s="265"/>
      <c r="E82" s="264"/>
      <c r="F82" s="266"/>
      <c r="G82" s="264"/>
      <c r="H82" s="267"/>
      <c r="I82" s="240"/>
    </row>
    <row r="83" spans="1:18" x14ac:dyDescent="0.2">
      <c r="I83" s="238"/>
      <c r="J83" s="264"/>
      <c r="K83" s="264"/>
      <c r="L83" s="264"/>
      <c r="M83" s="264"/>
      <c r="N83" s="264"/>
    </row>
    <row r="84" spans="1:18" x14ac:dyDescent="0.2">
      <c r="B84" s="264">
        <f>'С С Р'!B33</f>
        <v>0</v>
      </c>
      <c r="E84" s="264">
        <f>'С С Р'!E33</f>
        <v>0</v>
      </c>
    </row>
  </sheetData>
  <mergeCells count="45">
    <mergeCell ref="A23:A25"/>
    <mergeCell ref="A26:H26"/>
    <mergeCell ref="A28:A31"/>
    <mergeCell ref="A42:H42"/>
    <mergeCell ref="A47:A49"/>
    <mergeCell ref="A50:H50"/>
    <mergeCell ref="B51:B52"/>
    <mergeCell ref="A43:A46"/>
    <mergeCell ref="M58:N58"/>
    <mergeCell ref="J58:J59"/>
    <mergeCell ref="K58:K59"/>
    <mergeCell ref="A59:H59"/>
    <mergeCell ref="L58:L59"/>
    <mergeCell ref="A58:H58"/>
    <mergeCell ref="J75:N75"/>
    <mergeCell ref="K60:K68"/>
    <mergeCell ref="J71:N71"/>
    <mergeCell ref="J72:N72"/>
    <mergeCell ref="J73:N73"/>
    <mergeCell ref="J74:N74"/>
    <mergeCell ref="J60:J68"/>
    <mergeCell ref="B15:H15"/>
    <mergeCell ref="A6:H6"/>
    <mergeCell ref="A8:H8"/>
    <mergeCell ref="A11:H11"/>
    <mergeCell ref="A12:H12"/>
    <mergeCell ref="B14:C14"/>
    <mergeCell ref="A9:H9"/>
    <mergeCell ref="A10:H10"/>
    <mergeCell ref="A16:H16"/>
    <mergeCell ref="A17:A20"/>
    <mergeCell ref="B78:D78"/>
    <mergeCell ref="A66:H66"/>
    <mergeCell ref="B70:D70"/>
    <mergeCell ref="B60:C60"/>
    <mergeCell ref="A61:A63"/>
    <mergeCell ref="A65:H65"/>
    <mergeCell ref="B76:G76"/>
    <mergeCell ref="A57:H57"/>
    <mergeCell ref="B56:D56"/>
    <mergeCell ref="B55:G55"/>
    <mergeCell ref="A51:A54"/>
    <mergeCell ref="A33:A36"/>
    <mergeCell ref="A37:H37"/>
    <mergeCell ref="A38:A41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29" zoomScaleNormal="150" zoomScaleSheetLayoutView="100" workbookViewId="0">
      <selection activeCell="D1" sqref="D1:D3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710" t="s">
        <v>74</v>
      </c>
      <c r="B5" s="710"/>
      <c r="C5" s="710"/>
      <c r="D5" s="710"/>
      <c r="E5" s="710"/>
      <c r="F5" s="710"/>
      <c r="G5" s="710"/>
      <c r="H5" s="100"/>
    </row>
    <row r="6" spans="1:20" ht="14.25" x14ac:dyDescent="0.2">
      <c r="A6" s="229"/>
      <c r="B6" s="229"/>
      <c r="C6" s="229"/>
      <c r="D6" s="229"/>
      <c r="E6" s="229"/>
      <c r="F6" s="229"/>
      <c r="G6" s="229"/>
      <c r="H6" s="100"/>
    </row>
    <row r="7" spans="1:20" ht="53.25" customHeight="1" x14ac:dyDescent="0.2">
      <c r="A7" s="711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здание»,  расположенного по адресу:
г. Москва, Бродников пер., д.7, стр.2.</v>
      </c>
      <c r="B7" s="712"/>
      <c r="C7" s="712"/>
      <c r="D7" s="712"/>
      <c r="E7" s="712"/>
      <c r="F7" s="712"/>
      <c r="G7" s="712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715" t="s">
        <v>92</v>
      </c>
      <c r="B9" s="715"/>
      <c r="C9" s="715"/>
      <c r="D9" s="715"/>
      <c r="E9" s="715"/>
      <c r="F9" s="715"/>
      <c r="G9" s="715"/>
    </row>
    <row r="10" spans="1:20" ht="33.75" customHeight="1" x14ac:dyDescent="0.2">
      <c r="A10" s="713" t="s">
        <v>88</v>
      </c>
      <c r="B10" s="713"/>
      <c r="C10" s="713"/>
      <c r="D10" s="713"/>
      <c r="E10" s="713"/>
      <c r="F10" s="713"/>
      <c r="G10" s="713"/>
    </row>
    <row r="11" spans="1:20" ht="10.5" customHeight="1" x14ac:dyDescent="0.2">
      <c r="A11" s="230"/>
      <c r="B11" s="230"/>
      <c r="C11" s="230"/>
      <c r="D11" s="230"/>
      <c r="E11" s="230"/>
      <c r="F11" s="230"/>
      <c r="G11" s="230"/>
    </row>
    <row r="12" spans="1:20" ht="76.5" x14ac:dyDescent="0.2">
      <c r="A12" s="119" t="s">
        <v>23</v>
      </c>
      <c r="B12" s="231" t="s">
        <v>24</v>
      </c>
      <c r="C12" s="231" t="s">
        <v>90</v>
      </c>
      <c r="D12" s="120" t="s">
        <v>89</v>
      </c>
      <c r="E12" s="231" t="s">
        <v>25</v>
      </c>
      <c r="F12" s="231" t="s">
        <v>26</v>
      </c>
      <c r="G12" s="231" t="s">
        <v>27</v>
      </c>
    </row>
    <row r="13" spans="1:20" x14ac:dyDescent="0.2">
      <c r="A13" s="714" t="s">
        <v>28</v>
      </c>
      <c r="B13" s="714"/>
      <c r="C13" s="714"/>
      <c r="D13" s="714"/>
      <c r="E13" s="714"/>
      <c r="F13" s="714"/>
      <c r="G13" s="714"/>
    </row>
    <row r="14" spans="1:20" x14ac:dyDescent="0.2">
      <c r="A14" s="121"/>
      <c r="B14" s="121" t="s">
        <v>29</v>
      </c>
      <c r="C14" s="121"/>
      <c r="D14" s="122"/>
      <c r="E14" s="121" t="s">
        <v>30</v>
      </c>
      <c r="F14" s="123">
        <f>Т.с.!C67</f>
        <v>25.5</v>
      </c>
      <c r="G14" s="121"/>
      <c r="H14" s="116"/>
    </row>
    <row r="15" spans="1:20" ht="25.5" x14ac:dyDescent="0.2">
      <c r="A15" s="121"/>
      <c r="B15" s="124" t="s">
        <v>31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32</v>
      </c>
      <c r="C16" s="121" t="s">
        <v>33</v>
      </c>
      <c r="D16" s="122">
        <v>522</v>
      </c>
      <c r="E16" s="121"/>
      <c r="F16" s="244">
        <f>F14</f>
        <v>25.5</v>
      </c>
      <c r="G16" s="126">
        <f>D16*F16</f>
        <v>13311</v>
      </c>
    </row>
    <row r="17" spans="1:8" ht="25.5" x14ac:dyDescent="0.2">
      <c r="A17" s="121"/>
      <c r="B17" s="124" t="s">
        <v>34</v>
      </c>
      <c r="C17" s="121" t="s">
        <v>35</v>
      </c>
      <c r="D17" s="122">
        <v>1.1499999999999999</v>
      </c>
      <c r="E17" s="121"/>
      <c r="F17" s="125"/>
      <c r="G17" s="127">
        <f>G16*1.15</f>
        <v>15307.65</v>
      </c>
      <c r="H17" s="116"/>
    </row>
    <row r="18" spans="1:8" x14ac:dyDescent="0.2">
      <c r="A18" s="121"/>
      <c r="B18" s="128" t="s">
        <v>36</v>
      </c>
      <c r="C18" s="121"/>
      <c r="D18" s="122"/>
      <c r="E18" s="121"/>
      <c r="F18" s="125"/>
      <c r="G18" s="129">
        <f>G17</f>
        <v>15307.65</v>
      </c>
    </row>
    <row r="19" spans="1:8" ht="51" hidden="1" x14ac:dyDescent="0.2">
      <c r="A19" s="121"/>
      <c r="B19" s="128" t="s">
        <v>37</v>
      </c>
      <c r="C19" s="130" t="s">
        <v>79</v>
      </c>
      <c r="D19" s="131">
        <v>3.76</v>
      </c>
      <c r="E19" s="121"/>
      <c r="F19" s="125"/>
      <c r="G19" s="129">
        <f>G18*D19</f>
        <v>57556.763999999996</v>
      </c>
    </row>
    <row r="20" spans="1:8" x14ac:dyDescent="0.2">
      <c r="A20" s="714" t="s">
        <v>38</v>
      </c>
      <c r="B20" s="714"/>
      <c r="C20" s="714"/>
      <c r="D20" s="714"/>
      <c r="E20" s="714"/>
      <c r="F20" s="714"/>
      <c r="G20" s="714"/>
    </row>
    <row r="21" spans="1:8" x14ac:dyDescent="0.2">
      <c r="A21" s="121"/>
      <c r="B21" s="121" t="s">
        <v>29</v>
      </c>
      <c r="C21" s="121"/>
      <c r="D21" s="122"/>
      <c r="E21" s="121" t="s">
        <v>30</v>
      </c>
      <c r="F21" s="123">
        <f>F14</f>
        <v>25.5</v>
      </c>
      <c r="G21" s="121"/>
      <c r="H21" s="116"/>
    </row>
    <row r="22" spans="1:8" ht="25.5" x14ac:dyDescent="0.2">
      <c r="A22" s="121"/>
      <c r="B22" s="124" t="s">
        <v>31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32</v>
      </c>
      <c r="C23" s="121" t="s">
        <v>33</v>
      </c>
      <c r="D23" s="122">
        <v>296</v>
      </c>
      <c r="E23" s="121"/>
      <c r="F23" s="244">
        <f>F21</f>
        <v>25.5</v>
      </c>
      <c r="G23" s="126">
        <f>D23*F23</f>
        <v>7548</v>
      </c>
    </row>
    <row r="24" spans="1:8" ht="25.5" x14ac:dyDescent="0.2">
      <c r="A24" s="121"/>
      <c r="B24" s="124" t="s">
        <v>34</v>
      </c>
      <c r="C24" s="121" t="s">
        <v>35</v>
      </c>
      <c r="D24" s="122">
        <v>1.1499999999999999</v>
      </c>
      <c r="E24" s="121"/>
      <c r="F24" s="125"/>
      <c r="G24" s="127">
        <f>G23*D24</f>
        <v>8680.1999999999989</v>
      </c>
      <c r="H24" s="116"/>
    </row>
    <row r="25" spans="1:8" x14ac:dyDescent="0.2">
      <c r="A25" s="121"/>
      <c r="B25" s="128" t="s">
        <v>39</v>
      </c>
      <c r="C25" s="121"/>
      <c r="D25" s="122"/>
      <c r="E25" s="121"/>
      <c r="F25" s="125"/>
      <c r="G25" s="129">
        <f>G24</f>
        <v>8680.1999999999989</v>
      </c>
    </row>
    <row r="26" spans="1:8" ht="51" hidden="1" x14ac:dyDescent="0.2">
      <c r="A26" s="121"/>
      <c r="B26" s="128" t="s">
        <v>40</v>
      </c>
      <c r="C26" s="130" t="s">
        <v>79</v>
      </c>
      <c r="D26" s="131">
        <v>3.76</v>
      </c>
      <c r="E26" s="121"/>
      <c r="F26" s="125"/>
      <c r="G26" s="129">
        <f>G25*D26</f>
        <v>32637.551999999992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714" t="s">
        <v>192</v>
      </c>
      <c r="B28" s="714"/>
      <c r="C28" s="714"/>
      <c r="D28" s="714"/>
      <c r="E28" s="714"/>
      <c r="F28" s="714"/>
      <c r="G28" s="714"/>
    </row>
    <row r="29" spans="1:8" x14ac:dyDescent="0.2">
      <c r="A29" s="121"/>
      <c r="B29" s="121" t="s">
        <v>29</v>
      </c>
      <c r="C29" s="121"/>
      <c r="D29" s="122"/>
      <c r="E29" s="121" t="s">
        <v>30</v>
      </c>
      <c r="F29" s="244">
        <f>F14</f>
        <v>25.5</v>
      </c>
      <c r="G29" s="121"/>
    </row>
    <row r="30" spans="1:8" ht="25.5" x14ac:dyDescent="0.2">
      <c r="A30" s="121"/>
      <c r="B30" s="124" t="s">
        <v>31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32</v>
      </c>
      <c r="C31" s="121" t="s">
        <v>33</v>
      </c>
      <c r="D31" s="122">
        <v>178</v>
      </c>
      <c r="E31" s="121"/>
      <c r="F31" s="244">
        <f>F29</f>
        <v>25.5</v>
      </c>
      <c r="G31" s="126">
        <f>ROUND(D31*F31,2)</f>
        <v>4539</v>
      </c>
    </row>
    <row r="32" spans="1:8" ht="25.5" x14ac:dyDescent="0.2">
      <c r="A32" s="121"/>
      <c r="B32" s="124" t="s">
        <v>34</v>
      </c>
      <c r="C32" s="121" t="s">
        <v>35</v>
      </c>
      <c r="D32" s="122">
        <v>1.1499999999999999</v>
      </c>
      <c r="E32" s="121"/>
      <c r="F32" s="125"/>
      <c r="G32" s="129">
        <f>ROUND(G31*1.15,2)</f>
        <v>5219.8500000000004</v>
      </c>
    </row>
    <row r="33" spans="1:11" x14ac:dyDescent="0.2">
      <c r="A33" s="121"/>
      <c r="B33" s="128" t="s">
        <v>193</v>
      </c>
      <c r="C33" s="121"/>
      <c r="D33" s="122"/>
      <c r="E33" s="121"/>
      <c r="F33" s="125"/>
      <c r="G33" s="129">
        <f>G32</f>
        <v>5219.8500000000004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41</v>
      </c>
      <c r="C35" s="121"/>
      <c r="D35" s="122"/>
      <c r="E35" s="121"/>
      <c r="F35" s="125"/>
      <c r="G35" s="129">
        <f>G18+G25+G33</f>
        <v>29207.699999999997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5257.3859999999995</v>
      </c>
    </row>
    <row r="37" spans="1:11" ht="27" hidden="1" customHeight="1" x14ac:dyDescent="0.2">
      <c r="A37" s="121"/>
      <c r="B37" s="128" t="s">
        <v>42</v>
      </c>
      <c r="C37" s="124"/>
      <c r="D37" s="122"/>
      <c r="E37" s="121"/>
      <c r="F37" s="125"/>
      <c r="G37" s="129">
        <f>G35+G36</f>
        <v>34465.085999999996</v>
      </c>
    </row>
    <row r="39" spans="1:11" s="52" customFormat="1" hidden="1" x14ac:dyDescent="0.2">
      <c r="B39" s="137" t="s">
        <v>43</v>
      </c>
      <c r="C39" s="138"/>
      <c r="D39" s="52" t="s">
        <v>44</v>
      </c>
      <c r="F39" s="101"/>
      <c r="G39" s="54"/>
      <c r="H39" s="73"/>
      <c r="J39" s="96"/>
      <c r="K39" s="96"/>
    </row>
    <row r="40" spans="1:11" s="259" customFormat="1" x14ac:dyDescent="0.2">
      <c r="B40" s="137"/>
      <c r="F40" s="101"/>
      <c r="G40" s="260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B42" s="12">
        <f>'С С Р'!B29</f>
        <v>0</v>
      </c>
      <c r="D42" s="13">
        <f>'С С Р'!E29</f>
        <v>0</v>
      </c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B45" s="12">
        <f>'С С Р'!B33</f>
        <v>0</v>
      </c>
      <c r="D45" s="13">
        <f>'С С Р'!E33</f>
        <v>0</v>
      </c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45</v>
      </c>
      <c r="C48" s="140"/>
      <c r="D48" s="141"/>
      <c r="E48" s="142" t="s">
        <v>46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47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48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30</v>
      </c>
      <c r="D54" s="141"/>
      <c r="E54" s="70" t="s">
        <v>30</v>
      </c>
      <c r="F54" s="53"/>
      <c r="H54" s="53"/>
      <c r="I54" s="708"/>
      <c r="J54" s="709"/>
      <c r="K54" s="709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topLeftCell="A44" zoomScale="90" zoomScaleNormal="100" zoomScaleSheetLayoutView="90" workbookViewId="0">
      <selection activeCell="C86" sqref="C86"/>
    </sheetView>
  </sheetViews>
  <sheetFormatPr defaultRowHeight="12.75" x14ac:dyDescent="0.2"/>
  <cols>
    <col min="1" max="1" width="9.28515625" style="261" bestFit="1" customWidth="1"/>
    <col min="2" max="2" width="34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8" width="12.85546875" style="261" customWidth="1"/>
    <col min="9" max="16384" width="9.140625" style="261"/>
  </cols>
  <sheetData>
    <row r="1" spans="1:13" x14ac:dyDescent="0.2">
      <c r="A1" s="421"/>
      <c r="B1" s="421"/>
      <c r="C1" s="421"/>
      <c r="D1" s="421"/>
      <c r="E1" s="421"/>
      <c r="F1" s="716"/>
      <c r="G1" s="716"/>
      <c r="H1" s="716"/>
    </row>
    <row r="2" spans="1:13" x14ac:dyDescent="0.2">
      <c r="A2" s="49"/>
      <c r="B2" s="49"/>
      <c r="C2" s="49"/>
      <c r="D2" s="422"/>
      <c r="E2" s="49"/>
      <c r="F2" s="716"/>
      <c r="G2" s="716"/>
      <c r="H2" s="716"/>
    </row>
    <row r="3" spans="1:13" x14ac:dyDescent="0.2">
      <c r="A3" s="49"/>
      <c r="B3" s="49"/>
      <c r="C3" s="49"/>
      <c r="D3" s="422"/>
      <c r="E3" s="49"/>
      <c r="F3" s="456"/>
      <c r="G3" s="423"/>
      <c r="H3" s="424"/>
    </row>
    <row r="4" spans="1:13" x14ac:dyDescent="0.2">
      <c r="A4" s="49"/>
      <c r="B4" s="49"/>
      <c r="C4" s="49"/>
      <c r="D4" s="422"/>
      <c r="E4" s="49"/>
      <c r="F4" s="456"/>
      <c r="G4" s="423"/>
      <c r="H4" s="424"/>
    </row>
    <row r="5" spans="1:13" ht="14.25" x14ac:dyDescent="0.2">
      <c r="A5" s="717" t="s">
        <v>99</v>
      </c>
      <c r="B5" s="717"/>
      <c r="C5" s="717"/>
      <c r="D5" s="717"/>
      <c r="E5" s="717"/>
      <c r="F5" s="717"/>
      <c r="G5" s="717"/>
      <c r="H5" s="717"/>
    </row>
    <row r="6" spans="1:13" ht="14.25" x14ac:dyDescent="0.2">
      <c r="A6" s="457"/>
      <c r="B6" s="457"/>
      <c r="C6" s="457"/>
      <c r="D6" s="457"/>
      <c r="E6" s="457"/>
      <c r="F6" s="457"/>
      <c r="G6" s="457"/>
      <c r="H6" s="457"/>
    </row>
    <row r="7" spans="1:13" ht="14.25" customHeight="1" x14ac:dyDescent="0.2">
      <c r="A7" s="726" t="s">
        <v>100</v>
      </c>
      <c r="B7" s="726"/>
      <c r="C7" s="726"/>
      <c r="D7" s="726"/>
      <c r="E7" s="726"/>
      <c r="F7" s="726"/>
      <c r="G7" s="726"/>
      <c r="H7" s="726"/>
    </row>
    <row r="8" spans="1:13" x14ac:dyDescent="0.2">
      <c r="A8" s="425"/>
      <c r="B8" s="425"/>
      <c r="C8" s="425"/>
      <c r="D8" s="425"/>
      <c r="E8" s="425"/>
      <c r="F8" s="425"/>
      <c r="G8" s="425"/>
      <c r="H8" s="425"/>
    </row>
    <row r="9" spans="1:13" ht="53.25" customHeight="1" x14ac:dyDescent="0.2">
      <c r="A9" s="72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здание»,  расположенного по адресу:
г. Москва, Бродников пер., д.7, стр.2.</v>
      </c>
      <c r="B9" s="727"/>
      <c r="C9" s="727"/>
      <c r="D9" s="727"/>
      <c r="E9" s="727"/>
      <c r="F9" s="727"/>
      <c r="G9" s="727"/>
      <c r="H9" s="727"/>
    </row>
    <row r="10" spans="1:13" x14ac:dyDescent="0.2">
      <c r="A10" s="423"/>
      <c r="B10" s="48"/>
      <c r="C10" s="48"/>
      <c r="D10" s="426"/>
      <c r="E10" s="48"/>
      <c r="F10" s="427"/>
      <c r="G10" s="48"/>
      <c r="H10" s="426"/>
    </row>
    <row r="11" spans="1:13" ht="48" customHeight="1" thickBot="1" x14ac:dyDescent="0.25">
      <c r="A11" s="728" t="s">
        <v>209</v>
      </c>
      <c r="B11" s="729"/>
      <c r="C11" s="729"/>
      <c r="D11" s="729"/>
      <c r="E11" s="729"/>
      <c r="F11" s="729"/>
      <c r="G11" s="729"/>
      <c r="H11" s="730"/>
    </row>
    <row r="12" spans="1:13" ht="26.25" thickBot="1" x14ac:dyDescent="0.25">
      <c r="A12" s="161" t="s">
        <v>49</v>
      </c>
      <c r="B12" s="731" t="s">
        <v>50</v>
      </c>
      <c r="C12" s="732"/>
      <c r="D12" s="162" t="s">
        <v>51</v>
      </c>
      <c r="E12" s="162" t="s">
        <v>263</v>
      </c>
      <c r="F12" s="163" t="s">
        <v>52</v>
      </c>
      <c r="G12" s="162" t="s">
        <v>0</v>
      </c>
      <c r="H12" s="164" t="s">
        <v>53</v>
      </c>
      <c r="J12" s="474"/>
      <c r="K12" s="474"/>
      <c r="L12" s="475" t="s">
        <v>279</v>
      </c>
      <c r="M12" s="475" t="s">
        <v>279</v>
      </c>
    </row>
    <row r="13" spans="1:13" ht="13.5" thickBot="1" x14ac:dyDescent="0.25">
      <c r="A13" s="428">
        <v>1</v>
      </c>
      <c r="B13" s="429">
        <v>2</v>
      </c>
      <c r="C13" s="429">
        <v>3</v>
      </c>
      <c r="D13" s="430">
        <v>4</v>
      </c>
      <c r="E13" s="429">
        <v>5</v>
      </c>
      <c r="F13" s="430">
        <v>6</v>
      </c>
      <c r="G13" s="429">
        <v>7</v>
      </c>
      <c r="H13" s="431">
        <v>8</v>
      </c>
      <c r="J13" s="435" t="s">
        <v>115</v>
      </c>
      <c r="K13" s="435" t="s">
        <v>264</v>
      </c>
      <c r="L13" s="476" t="s">
        <v>115</v>
      </c>
      <c r="M13" s="435" t="s">
        <v>264</v>
      </c>
    </row>
    <row r="14" spans="1:13" ht="38.25" x14ac:dyDescent="0.2">
      <c r="A14" s="61">
        <v>1</v>
      </c>
      <c r="B14" s="432" t="s">
        <v>101</v>
      </c>
      <c r="C14" s="433" t="s">
        <v>115</v>
      </c>
      <c r="D14" s="175">
        <v>820</v>
      </c>
      <c r="E14" s="170" t="s">
        <v>317</v>
      </c>
      <c r="F14" s="176">
        <v>1</v>
      </c>
      <c r="G14" s="176" t="str">
        <f>CONCATENATE(D14,"*",F14)</f>
        <v>820*1</v>
      </c>
      <c r="H14" s="165">
        <f>ROUND(D14*F14,2)</f>
        <v>820</v>
      </c>
      <c r="J14" s="436">
        <v>820</v>
      </c>
      <c r="K14" s="436">
        <v>482</v>
      </c>
      <c r="L14" s="475">
        <v>1229</v>
      </c>
      <c r="M14" s="475">
        <v>723</v>
      </c>
    </row>
    <row r="15" spans="1:13" ht="38.25" x14ac:dyDescent="0.2">
      <c r="A15" s="61">
        <v>2</v>
      </c>
      <c r="B15" s="432" t="s">
        <v>102</v>
      </c>
      <c r="C15" s="433" t="s">
        <v>115</v>
      </c>
      <c r="D15" s="175">
        <v>1326</v>
      </c>
      <c r="E15" s="170" t="s">
        <v>318</v>
      </c>
      <c r="F15" s="176">
        <v>1</v>
      </c>
      <c r="G15" s="176" t="str">
        <f>CONCATENATE(D15,"*",F15)</f>
        <v>1326*1</v>
      </c>
      <c r="H15" s="165">
        <f>ROUND(D15*F15,2)</f>
        <v>1326</v>
      </c>
      <c r="I15" s="434"/>
      <c r="J15" s="436">
        <v>1326</v>
      </c>
      <c r="K15" s="436">
        <v>780</v>
      </c>
      <c r="L15" s="475">
        <v>1724</v>
      </c>
      <c r="M15" s="475">
        <v>1013</v>
      </c>
    </row>
    <row r="16" spans="1:13" x14ac:dyDescent="0.2">
      <c r="A16" s="61"/>
      <c r="B16" s="437" t="s">
        <v>103</v>
      </c>
      <c r="C16" s="170"/>
      <c r="D16" s="166"/>
      <c r="E16" s="170"/>
      <c r="F16" s="438"/>
      <c r="G16" s="439"/>
      <c r="H16" s="60">
        <f>SUM(H14:H15)</f>
        <v>2146</v>
      </c>
      <c r="I16" s="434"/>
      <c r="J16" s="436"/>
      <c r="K16" s="436"/>
      <c r="L16" s="475"/>
      <c r="M16" s="475"/>
    </row>
    <row r="17" spans="1:13" ht="25.5" x14ac:dyDescent="0.2">
      <c r="A17" s="61">
        <v>3</v>
      </c>
      <c r="B17" s="432" t="s">
        <v>54</v>
      </c>
      <c r="C17" s="433" t="s">
        <v>115</v>
      </c>
      <c r="D17" s="175">
        <v>484</v>
      </c>
      <c r="E17" s="170" t="s">
        <v>212</v>
      </c>
      <c r="F17" s="176">
        <v>1</v>
      </c>
      <c r="G17" s="176" t="str">
        <f>CONCATENATE(D17,"*",F17)</f>
        <v>484*1</v>
      </c>
      <c r="H17" s="165">
        <f>ROUND(D17*F17,2)</f>
        <v>484</v>
      </c>
      <c r="I17" s="434"/>
      <c r="J17" s="436">
        <v>484</v>
      </c>
      <c r="K17" s="436">
        <v>484</v>
      </c>
      <c r="L17" s="475">
        <v>1211</v>
      </c>
      <c r="M17" s="475">
        <v>968</v>
      </c>
    </row>
    <row r="18" spans="1:13" ht="51" x14ac:dyDescent="0.2">
      <c r="A18" s="61">
        <v>4</v>
      </c>
      <c r="B18" s="167" t="s">
        <v>55</v>
      </c>
      <c r="C18" s="168"/>
      <c r="D18" s="169">
        <v>1214</v>
      </c>
      <c r="E18" s="170" t="s">
        <v>213</v>
      </c>
      <c r="F18" s="169">
        <v>1</v>
      </c>
      <c r="G18" s="176" t="str">
        <f>CONCATENATE(D18,"*",F18)</f>
        <v>1214*1</v>
      </c>
      <c r="H18" s="165">
        <f>ROUND(D18*F18,2)</f>
        <v>1214</v>
      </c>
      <c r="I18" s="464"/>
      <c r="J18" s="476"/>
      <c r="K18" s="476"/>
      <c r="L18" s="474"/>
      <c r="M18" s="474"/>
    </row>
    <row r="19" spans="1:13" x14ac:dyDescent="0.2">
      <c r="A19" s="61">
        <v>5</v>
      </c>
      <c r="B19" s="167" t="s">
        <v>56</v>
      </c>
      <c r="C19" s="168"/>
      <c r="D19" s="169">
        <v>318</v>
      </c>
      <c r="E19" s="170" t="s">
        <v>214</v>
      </c>
      <c r="F19" s="169">
        <v>1</v>
      </c>
      <c r="G19" s="176" t="str">
        <f>CONCATENATE(D19,"*",F19)</f>
        <v>318*1</v>
      </c>
      <c r="H19" s="165">
        <f>ROUND(D19*F19,2)</f>
        <v>318</v>
      </c>
      <c r="I19" s="464"/>
      <c r="J19" s="476"/>
      <c r="K19" s="476"/>
      <c r="L19" s="474"/>
      <c r="M19" s="474"/>
    </row>
    <row r="20" spans="1:13" ht="25.5" x14ac:dyDescent="0.2">
      <c r="A20" s="61">
        <v>6</v>
      </c>
      <c r="B20" s="167" t="s">
        <v>57</v>
      </c>
      <c r="C20" s="168"/>
      <c r="D20" s="169">
        <v>318</v>
      </c>
      <c r="E20" s="170" t="s">
        <v>215</v>
      </c>
      <c r="F20" s="169">
        <v>1</v>
      </c>
      <c r="G20" s="176" t="str">
        <f>CONCATENATE(D20,"*",F20)</f>
        <v>318*1</v>
      </c>
      <c r="H20" s="165">
        <f>ROUND(D20*F20,2)</f>
        <v>318</v>
      </c>
      <c r="I20" s="464"/>
      <c r="J20" s="476"/>
      <c r="K20" s="476"/>
      <c r="L20" s="474"/>
      <c r="M20" s="474"/>
    </row>
    <row r="21" spans="1:13" ht="63.75" x14ac:dyDescent="0.2">
      <c r="A21" s="458">
        <v>7</v>
      </c>
      <c r="B21" s="384" t="s">
        <v>216</v>
      </c>
      <c r="C21" s="172" t="s">
        <v>58</v>
      </c>
      <c r="D21" s="173">
        <v>122</v>
      </c>
      <c r="E21" s="460" t="s">
        <v>217</v>
      </c>
      <c r="F21" s="640">
        <f>Т.с.!C67/1000</f>
        <v>2.5499999999999998E-2</v>
      </c>
      <c r="G21" s="175">
        <f>D21</f>
        <v>122</v>
      </c>
      <c r="H21" s="8">
        <f>G21</f>
        <v>122</v>
      </c>
      <c r="I21" s="477" t="s">
        <v>265</v>
      </c>
      <c r="J21" s="478" t="s">
        <v>115</v>
      </c>
      <c r="K21" s="478" t="s">
        <v>264</v>
      </c>
      <c r="L21" s="474"/>
      <c r="M21" s="474"/>
    </row>
    <row r="22" spans="1:13" ht="25.5" x14ac:dyDescent="0.2">
      <c r="A22" s="458">
        <v>8</v>
      </c>
      <c r="B22" s="171" t="s">
        <v>104</v>
      </c>
      <c r="C22" s="433" t="s">
        <v>115</v>
      </c>
      <c r="D22" s="173">
        <v>1241</v>
      </c>
      <c r="E22" s="460" t="s">
        <v>218</v>
      </c>
      <c r="F22" s="174">
        <v>1</v>
      </c>
      <c r="G22" s="176" t="str">
        <f>CONCATENATE(D22,"*",F22)</f>
        <v>1241*1</v>
      </c>
      <c r="H22" s="8">
        <f>ROUND(D22*F22,2)</f>
        <v>1241</v>
      </c>
      <c r="I22" s="434"/>
      <c r="J22" s="436">
        <v>1241</v>
      </c>
      <c r="K22" s="436">
        <v>689</v>
      </c>
      <c r="L22" s="435"/>
      <c r="M22" s="435"/>
    </row>
    <row r="23" spans="1:13" ht="25.5" x14ac:dyDescent="0.2">
      <c r="A23" s="458">
        <v>9</v>
      </c>
      <c r="B23" s="385" t="s">
        <v>105</v>
      </c>
      <c r="C23" s="440" t="s">
        <v>219</v>
      </c>
      <c r="D23" s="386">
        <v>1027</v>
      </c>
      <c r="E23" s="387" t="s">
        <v>220</v>
      </c>
      <c r="F23" s="388">
        <v>1</v>
      </c>
      <c r="G23" s="461" t="str">
        <f>CONCATENATE(D23,"*",F23)</f>
        <v>1027*1</v>
      </c>
      <c r="H23" s="8">
        <f>ROUND(D23*F23,2)</f>
        <v>1027</v>
      </c>
      <c r="J23" s="474"/>
      <c r="K23" s="474"/>
      <c r="L23" s="474"/>
    </row>
    <row r="24" spans="1:13" x14ac:dyDescent="0.2">
      <c r="A24" s="389"/>
      <c r="B24" s="390" t="s">
        <v>221</v>
      </c>
      <c r="C24" s="392"/>
      <c r="D24" s="391"/>
      <c r="E24" s="392"/>
      <c r="F24" s="393"/>
      <c r="G24" s="441"/>
      <c r="H24" s="165"/>
      <c r="J24" s="474"/>
      <c r="K24" s="474"/>
      <c r="L24" s="474"/>
    </row>
    <row r="25" spans="1:13" ht="38.25" x14ac:dyDescent="0.2">
      <c r="A25" s="61">
        <v>10</v>
      </c>
      <c r="B25" s="171" t="s">
        <v>106</v>
      </c>
      <c r="C25" s="394" t="s">
        <v>222</v>
      </c>
      <c r="D25" s="173">
        <v>1222</v>
      </c>
      <c r="E25" s="460" t="s">
        <v>223</v>
      </c>
      <c r="F25" s="462">
        <v>1</v>
      </c>
      <c r="G25" s="462" t="str">
        <f>CONCATENATE(D25,"*",F25)</f>
        <v>1222*1</v>
      </c>
      <c r="H25" s="8">
        <f>ROUND(D25*F25,2)</f>
        <v>1222</v>
      </c>
      <c r="I25" s="465">
        <v>335</v>
      </c>
      <c r="J25" s="474"/>
      <c r="K25" s="474"/>
      <c r="L25" s="474"/>
    </row>
    <row r="26" spans="1:13" ht="38.25" x14ac:dyDescent="0.2">
      <c r="A26" s="61">
        <v>11</v>
      </c>
      <c r="B26" s="170" t="s">
        <v>200</v>
      </c>
      <c r="C26" s="63" t="s">
        <v>224</v>
      </c>
      <c r="D26" s="175">
        <v>335</v>
      </c>
      <c r="E26" s="170" t="s">
        <v>225</v>
      </c>
      <c r="F26" s="176"/>
      <c r="G26" s="176"/>
      <c r="H26" s="165"/>
    </row>
    <row r="27" spans="1:13" ht="25.5" x14ac:dyDescent="0.2">
      <c r="A27" s="382" t="s">
        <v>107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82" t="s">
        <v>121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83" t="s">
        <v>122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95" t="s">
        <v>108</v>
      </c>
      <c r="C30" s="62"/>
      <c r="D30" s="177"/>
      <c r="E30" s="62"/>
      <c r="F30" s="64"/>
      <c r="G30" s="396">
        <f>SUM(H27:H29)</f>
        <v>20100</v>
      </c>
      <c r="H30" s="60"/>
    </row>
    <row r="31" spans="1:13" ht="21.75" customHeight="1" x14ac:dyDescent="0.2">
      <c r="A31" s="61">
        <v>12</v>
      </c>
      <c r="B31" s="167" t="s">
        <v>198</v>
      </c>
      <c r="C31" s="398">
        <v>0.3</v>
      </c>
      <c r="D31" s="175"/>
      <c r="E31" s="170" t="s">
        <v>226</v>
      </c>
      <c r="F31" s="176"/>
      <c r="G31" s="399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109</v>
      </c>
      <c r="C32" s="398">
        <v>0.14000000000000001</v>
      </c>
      <c r="D32" s="175"/>
      <c r="E32" s="170" t="s">
        <v>227</v>
      </c>
      <c r="F32" s="176"/>
      <c r="G32" s="399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110</v>
      </c>
      <c r="C33" s="398">
        <v>0.14000000000000001</v>
      </c>
      <c r="D33" s="175"/>
      <c r="E33" s="170" t="s">
        <v>228</v>
      </c>
      <c r="F33" s="176"/>
      <c r="G33" s="399" t="str">
        <f>CONCATENATE(G30," * ",C33)</f>
        <v>20100 * 0,14</v>
      </c>
      <c r="H33" s="397">
        <f>ROUND(G30*C33,2)</f>
        <v>2814</v>
      </c>
    </row>
    <row r="34" spans="1:9" ht="38.25" hidden="1" x14ac:dyDescent="0.2">
      <c r="A34" s="61">
        <v>15</v>
      </c>
      <c r="B34" s="384" t="s">
        <v>111</v>
      </c>
      <c r="C34" s="462" t="s">
        <v>229</v>
      </c>
      <c r="D34" s="173">
        <v>653</v>
      </c>
      <c r="E34" s="460" t="s">
        <v>230</v>
      </c>
      <c r="F34" s="462">
        <v>0</v>
      </c>
      <c r="G34" s="462" t="str">
        <f>CONCATENATE(D34,"*",F34)</f>
        <v>653*0</v>
      </c>
      <c r="H34" s="442">
        <f>ROUND(D34*F34,2)</f>
        <v>0</v>
      </c>
    </row>
    <row r="35" spans="1:9" ht="38.25" x14ac:dyDescent="0.2">
      <c r="A35" s="61">
        <v>16</v>
      </c>
      <c r="B35" s="167" t="s">
        <v>231</v>
      </c>
      <c r="C35" s="176" t="s">
        <v>232</v>
      </c>
      <c r="D35" s="175">
        <v>932</v>
      </c>
      <c r="E35" s="170" t="s">
        <v>233</v>
      </c>
      <c r="F35" s="176">
        <v>1</v>
      </c>
      <c r="G35" s="176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59</v>
      </c>
      <c r="C36" s="398">
        <v>0.38</v>
      </c>
      <c r="D36" s="175"/>
      <c r="E36" s="170" t="s">
        <v>266</v>
      </c>
      <c r="F36" s="176"/>
      <c r="G36" s="399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112</v>
      </c>
      <c r="C37" s="176" t="s">
        <v>113</v>
      </c>
      <c r="D37" s="175">
        <v>212</v>
      </c>
      <c r="E37" s="170" t="s">
        <v>234</v>
      </c>
      <c r="F37" s="176">
        <v>4</v>
      </c>
      <c r="G37" s="176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400" t="s">
        <v>60</v>
      </c>
      <c r="C38" s="480" t="s">
        <v>113</v>
      </c>
      <c r="D38" s="402">
        <v>850</v>
      </c>
      <c r="E38" s="479" t="s">
        <v>235</v>
      </c>
      <c r="F38" s="480">
        <f>F37</f>
        <v>4</v>
      </c>
      <c r="G38" s="480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400" t="s">
        <v>236</v>
      </c>
      <c r="C39" s="401">
        <v>0.4</v>
      </c>
      <c r="D39" s="402"/>
      <c r="E39" s="479" t="s">
        <v>237</v>
      </c>
      <c r="F39" s="480"/>
      <c r="G39" s="481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404"/>
      <c r="B40" s="403" t="s">
        <v>238</v>
      </c>
      <c r="C40" s="406"/>
      <c r="D40" s="391"/>
      <c r="E40" s="392"/>
      <c r="F40" s="406"/>
      <c r="G40" s="419"/>
      <c r="I40" s="466"/>
    </row>
    <row r="41" spans="1:9" ht="51" x14ac:dyDescent="0.2">
      <c r="A41" s="61">
        <v>21</v>
      </c>
      <c r="B41" s="167" t="s">
        <v>239</v>
      </c>
      <c r="C41" s="176" t="s">
        <v>240</v>
      </c>
      <c r="D41" s="175">
        <v>729</v>
      </c>
      <c r="E41" s="170" t="s">
        <v>241</v>
      </c>
      <c r="F41" s="176">
        <v>1</v>
      </c>
      <c r="G41" s="176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400" t="s">
        <v>242</v>
      </c>
      <c r="C42" s="401">
        <v>0.25</v>
      </c>
      <c r="D42" s="402"/>
      <c r="E42" s="479" t="s">
        <v>243</v>
      </c>
      <c r="F42" s="480"/>
      <c r="G42" s="481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404"/>
      <c r="B43" s="403" t="s">
        <v>244</v>
      </c>
      <c r="C43" s="405"/>
      <c r="D43" s="391"/>
      <c r="E43" s="392"/>
      <c r="F43" s="406"/>
      <c r="G43" s="407"/>
      <c r="H43" s="165"/>
    </row>
    <row r="44" spans="1:9" x14ac:dyDescent="0.2">
      <c r="A44" s="408"/>
      <c r="B44" s="409" t="s">
        <v>71</v>
      </c>
      <c r="C44" s="410"/>
      <c r="D44" s="411"/>
      <c r="E44" s="412"/>
      <c r="F44" s="413"/>
      <c r="G44" s="414"/>
      <c r="H44" s="415"/>
    </row>
    <row r="45" spans="1:9" ht="25.5" x14ac:dyDescent="0.2">
      <c r="A45" s="718">
        <v>23</v>
      </c>
      <c r="B45" s="720" t="s">
        <v>245</v>
      </c>
      <c r="C45" s="722" t="s">
        <v>246</v>
      </c>
      <c r="D45" s="724">
        <v>410</v>
      </c>
      <c r="E45" s="459" t="s">
        <v>247</v>
      </c>
      <c r="F45" s="461">
        <v>1</v>
      </c>
      <c r="G45" s="461" t="str">
        <f>CONCATENATE(D45,"*",F45,"*",F46)</f>
        <v>410*1*1</v>
      </c>
      <c r="H45" s="415">
        <f>ROUND(D45*F45*F46,2)</f>
        <v>410</v>
      </c>
    </row>
    <row r="46" spans="1:9" x14ac:dyDescent="0.2">
      <c r="A46" s="719"/>
      <c r="B46" s="721"/>
      <c r="C46" s="723"/>
      <c r="D46" s="725"/>
      <c r="E46" s="460" t="s">
        <v>248</v>
      </c>
      <c r="F46" s="462">
        <v>1</v>
      </c>
      <c r="G46" s="462"/>
      <c r="H46" s="416"/>
    </row>
    <row r="47" spans="1:9" ht="25.5" x14ac:dyDescent="0.2">
      <c r="A47" s="61">
        <v>24</v>
      </c>
      <c r="B47" s="167" t="s">
        <v>250</v>
      </c>
      <c r="C47" s="461" t="s">
        <v>249</v>
      </c>
      <c r="D47" s="463">
        <v>410</v>
      </c>
      <c r="E47" s="459" t="s">
        <v>251</v>
      </c>
      <c r="F47" s="461">
        <v>1</v>
      </c>
      <c r="G47" s="176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252</v>
      </c>
      <c r="C48" s="461" t="s">
        <v>249</v>
      </c>
      <c r="D48" s="463">
        <v>1650</v>
      </c>
      <c r="E48" s="459" t="s">
        <v>253</v>
      </c>
      <c r="F48" s="461">
        <v>6</v>
      </c>
      <c r="G48" s="176" t="str">
        <f t="shared" si="1"/>
        <v>1650*6</v>
      </c>
      <c r="H48" s="165">
        <f t="shared" si="2"/>
        <v>9900</v>
      </c>
    </row>
    <row r="49" spans="1:8" ht="25.5" x14ac:dyDescent="0.2">
      <c r="A49" s="718">
        <v>26</v>
      </c>
      <c r="B49" s="720" t="s">
        <v>188</v>
      </c>
      <c r="C49" s="722" t="s">
        <v>246</v>
      </c>
      <c r="D49" s="724">
        <v>1648</v>
      </c>
      <c r="E49" s="459" t="s">
        <v>254</v>
      </c>
      <c r="F49" s="461">
        <v>1</v>
      </c>
      <c r="G49" s="461" t="str">
        <f>CONCATENATE(D49,"*",F49,"*",F50)</f>
        <v>1648*1*1</v>
      </c>
      <c r="H49" s="415">
        <f>ROUND(D49*F49*F50,2)</f>
        <v>1648</v>
      </c>
    </row>
    <row r="50" spans="1:8" x14ac:dyDescent="0.2">
      <c r="A50" s="719"/>
      <c r="B50" s="721"/>
      <c r="C50" s="723"/>
      <c r="D50" s="725"/>
      <c r="E50" s="460" t="s">
        <v>248</v>
      </c>
      <c r="F50" s="462">
        <f>F46</f>
        <v>1</v>
      </c>
      <c r="G50" s="462"/>
      <c r="H50" s="417"/>
    </row>
    <row r="51" spans="1:8" ht="25.5" x14ac:dyDescent="0.2">
      <c r="A51" s="718">
        <v>27</v>
      </c>
      <c r="B51" s="720" t="s">
        <v>255</v>
      </c>
      <c r="C51" s="722" t="s">
        <v>246</v>
      </c>
      <c r="D51" s="724">
        <v>1757</v>
      </c>
      <c r="E51" s="459" t="s">
        <v>256</v>
      </c>
      <c r="F51" s="461">
        <v>1</v>
      </c>
      <c r="G51" s="461" t="str">
        <f>CONCATENATE(D51,"*",F51,"*",F52)</f>
        <v>1757*1*1</v>
      </c>
      <c r="H51" s="415">
        <f>ROUND(D51*F51*F52,2)</f>
        <v>1757</v>
      </c>
    </row>
    <row r="52" spans="1:8" x14ac:dyDescent="0.2">
      <c r="A52" s="719"/>
      <c r="B52" s="721"/>
      <c r="C52" s="723"/>
      <c r="D52" s="725"/>
      <c r="E52" s="460" t="s">
        <v>248</v>
      </c>
      <c r="F52" s="462">
        <f>F46</f>
        <v>1</v>
      </c>
      <c r="G52" s="462"/>
      <c r="H52" s="417"/>
    </row>
    <row r="53" spans="1:8" ht="25.5" x14ac:dyDescent="0.2">
      <c r="A53" s="718">
        <v>28</v>
      </c>
      <c r="B53" s="720" t="s">
        <v>189</v>
      </c>
      <c r="C53" s="722" t="s">
        <v>246</v>
      </c>
      <c r="D53" s="724">
        <v>439</v>
      </c>
      <c r="E53" s="459" t="s">
        <v>257</v>
      </c>
      <c r="F53" s="461">
        <v>1</v>
      </c>
      <c r="G53" s="461" t="str">
        <f>CONCATENATE(D53,"*",F53,"*",F54)</f>
        <v>439*1*1</v>
      </c>
      <c r="H53" s="415">
        <f>ROUND(D53*F53*F54,2)</f>
        <v>439</v>
      </c>
    </row>
    <row r="54" spans="1:8" x14ac:dyDescent="0.2">
      <c r="A54" s="719"/>
      <c r="B54" s="721"/>
      <c r="C54" s="723"/>
      <c r="D54" s="725"/>
      <c r="E54" s="460" t="s">
        <v>248</v>
      </c>
      <c r="F54" s="462">
        <f>F46</f>
        <v>1</v>
      </c>
      <c r="G54" s="462"/>
    </row>
    <row r="55" spans="1:8" x14ac:dyDescent="0.2">
      <c r="A55" s="61"/>
      <c r="B55" s="339" t="s">
        <v>258</v>
      </c>
      <c r="C55" s="170"/>
      <c r="D55" s="175"/>
      <c r="E55" s="170"/>
      <c r="F55" s="176"/>
      <c r="G55" s="420"/>
      <c r="H55" s="60">
        <f>SUM(H17:H54)</f>
        <v>60412.61</v>
      </c>
    </row>
    <row r="56" spans="1:8" x14ac:dyDescent="0.2">
      <c r="A56" s="61"/>
      <c r="B56" s="170" t="s">
        <v>61</v>
      </c>
      <c r="C56" s="443">
        <v>9.7000000000000003E-3</v>
      </c>
      <c r="D56" s="444"/>
      <c r="E56" s="170" t="s">
        <v>259</v>
      </c>
      <c r="F56" s="176"/>
      <c r="G56" s="445" t="str">
        <f>CONCATENATE(H55,"*",C56)</f>
        <v>60412,61*0,0097</v>
      </c>
      <c r="H56" s="8">
        <f>ROUND(H55*0.0097,2)</f>
        <v>586</v>
      </c>
    </row>
    <row r="57" spans="1:8" x14ac:dyDescent="0.2">
      <c r="A57" s="61"/>
      <c r="B57" s="339" t="s">
        <v>114</v>
      </c>
      <c r="C57" s="170"/>
      <c r="D57" s="175"/>
      <c r="E57" s="170"/>
      <c r="F57" s="176"/>
      <c r="G57" s="176" t="str">
        <f>CONCATENATE(H55," + ",H56)</f>
        <v>60412,61 + 586</v>
      </c>
      <c r="H57" s="60">
        <f>ROUND(H55+H56,2)</f>
        <v>60998.61</v>
      </c>
    </row>
    <row r="58" spans="1:8" x14ac:dyDescent="0.2">
      <c r="A58" s="61"/>
      <c r="B58" s="170" t="s">
        <v>62</v>
      </c>
      <c r="C58" s="443">
        <v>1.11E-2</v>
      </c>
      <c r="D58" s="444"/>
      <c r="E58" s="170" t="s">
        <v>260</v>
      </c>
      <c r="F58" s="445"/>
      <c r="G58" s="445" t="str">
        <f>CONCATENATE(H57,"*",C58)</f>
        <v>60998,61*0,0111</v>
      </c>
      <c r="H58" s="8">
        <f>ROUND(H57*C58,2)</f>
        <v>677.08</v>
      </c>
    </row>
    <row r="59" spans="1:8" x14ac:dyDescent="0.2">
      <c r="A59" s="61"/>
      <c r="B59" s="170" t="s">
        <v>261</v>
      </c>
      <c r="C59" s="443">
        <v>2.5700000000000001E-2</v>
      </c>
      <c r="D59" s="444"/>
      <c r="E59" s="170" t="s">
        <v>262</v>
      </c>
      <c r="F59" s="445">
        <v>5</v>
      </c>
      <c r="G59" s="445" t="str">
        <f>CONCATENATE(H57,"*",C59,)</f>
        <v>60998,61*0,0257</v>
      </c>
      <c r="H59" s="8">
        <f>ROUND(H57*C59,2)</f>
        <v>1567.66</v>
      </c>
    </row>
    <row r="60" spans="1:8" ht="36" x14ac:dyDescent="0.2">
      <c r="A60" s="458"/>
      <c r="B60" s="387"/>
      <c r="C60" s="446">
        <v>0.15</v>
      </c>
      <c r="D60" s="447"/>
      <c r="E60" s="448" t="s">
        <v>199</v>
      </c>
      <c r="F60" s="449"/>
      <c r="G60" s="450" t="str">
        <f>CONCATENATE(H59,"*",C60)</f>
        <v>1567,66*0,15</v>
      </c>
      <c r="H60" s="278">
        <f>ROUND(H59*0.15,2)</f>
        <v>235.15</v>
      </c>
    </row>
    <row r="61" spans="1:8" ht="39" thickBot="1" x14ac:dyDescent="0.25">
      <c r="A61" s="451"/>
      <c r="B61" s="452" t="s">
        <v>63</v>
      </c>
      <c r="C61" s="452"/>
      <c r="D61" s="453"/>
      <c r="E61" s="452"/>
      <c r="F61" s="454"/>
      <c r="G61" s="454" t="str">
        <f>CONCATENATE(H57," + ",H58,"+",H59," + ",H16,"+",H60)</f>
        <v>60998,61 + 677,08+1567,66 + 2146+235,15</v>
      </c>
      <c r="H61" s="418">
        <f>ROUND(H57+H58+H59+H60+H16,2)</f>
        <v>65624.5</v>
      </c>
    </row>
    <row r="65" spans="1:5" x14ac:dyDescent="0.2">
      <c r="A65" s="261">
        <f>'С С Р'!B29</f>
        <v>0</v>
      </c>
      <c r="E65" s="261">
        <f>'С С Р'!E29</f>
        <v>0</v>
      </c>
    </row>
    <row r="68" spans="1:5" x14ac:dyDescent="0.2">
      <c r="A68" s="261">
        <f>'С С Р'!B33</f>
        <v>0</v>
      </c>
      <c r="E68" s="261">
        <f>'С С Р'!E33</f>
        <v>0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</mergeCells>
  <printOptions horizontalCentered="1"/>
  <pageMargins left="0.51181102362204722" right="0.11811023622047245" top="0.35433070866141736" bottom="0.35433070866141736" header="0" footer="0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F1" sqref="F1:F3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66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43"/>
      <c r="G4" s="743"/>
      <c r="H4" s="743"/>
    </row>
    <row r="5" spans="1:11" x14ac:dyDescent="0.2">
      <c r="D5" s="72"/>
      <c r="F5" s="232"/>
      <c r="G5" s="233"/>
      <c r="H5" s="73"/>
    </row>
    <row r="6" spans="1:11" x14ac:dyDescent="0.2">
      <c r="D6" s="72"/>
      <c r="F6" s="232"/>
      <c r="G6" s="233"/>
      <c r="H6" s="73"/>
    </row>
    <row r="7" spans="1:11" ht="14.25" x14ac:dyDescent="0.2">
      <c r="A7" s="710" t="s">
        <v>187</v>
      </c>
      <c r="B7" s="710"/>
      <c r="C7" s="710"/>
      <c r="D7" s="710"/>
      <c r="E7" s="710"/>
      <c r="F7" s="710"/>
      <c r="G7" s="710"/>
      <c r="H7" s="710"/>
    </row>
    <row r="8" spans="1:11" x14ac:dyDescent="0.2">
      <c r="A8" s="242"/>
      <c r="B8" s="242"/>
      <c r="C8" s="242"/>
      <c r="D8" s="242"/>
      <c r="E8" s="242"/>
      <c r="F8" s="242"/>
      <c r="G8" s="242"/>
      <c r="H8" s="242"/>
    </row>
    <row r="9" spans="1:11" ht="60.75" customHeight="1" x14ac:dyDescent="0.2">
      <c r="A9" s="744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здание»,  расположенного по адресу:
г. Москва, Бродников пер., д.7, стр.2.</v>
      </c>
      <c r="B9" s="745"/>
      <c r="C9" s="745"/>
      <c r="D9" s="745"/>
      <c r="E9" s="745"/>
      <c r="F9" s="745"/>
      <c r="G9" s="745"/>
      <c r="H9" s="745"/>
      <c r="J9" s="74" t="s">
        <v>125</v>
      </c>
      <c r="K9" s="74" t="s">
        <v>126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46" t="s">
        <v>93</v>
      </c>
      <c r="B11" s="746"/>
      <c r="C11" s="746"/>
      <c r="D11" s="746"/>
      <c r="E11" s="746"/>
      <c r="F11" s="746"/>
      <c r="G11" s="746"/>
      <c r="H11" s="746"/>
      <c r="J11" s="74" t="s">
        <v>127</v>
      </c>
      <c r="K11" s="74">
        <v>2500</v>
      </c>
    </row>
    <row r="12" spans="1:11" x14ac:dyDescent="0.2">
      <c r="A12" s="242"/>
      <c r="B12" s="242"/>
      <c r="C12" s="242"/>
      <c r="D12" s="242"/>
      <c r="E12" s="242"/>
      <c r="F12" s="242"/>
      <c r="G12" s="242"/>
      <c r="H12" s="242"/>
      <c r="J12" s="74" t="s">
        <v>128</v>
      </c>
      <c r="K12" s="74">
        <v>4500</v>
      </c>
    </row>
    <row r="13" spans="1:11" x14ac:dyDescent="0.2">
      <c r="A13" s="739" t="s">
        <v>76</v>
      </c>
      <c r="B13" s="739"/>
      <c r="C13" s="739"/>
      <c r="D13" s="739"/>
      <c r="E13" s="739"/>
      <c r="F13" s="739"/>
      <c r="G13" s="739"/>
      <c r="H13" s="739"/>
      <c r="J13" s="74" t="s">
        <v>129</v>
      </c>
      <c r="K13" s="74">
        <v>8000</v>
      </c>
    </row>
    <row r="14" spans="1:11" x14ac:dyDescent="0.2">
      <c r="A14" s="739" t="s">
        <v>141</v>
      </c>
      <c r="B14" s="739"/>
      <c r="C14" s="739"/>
      <c r="D14" s="739"/>
      <c r="E14" s="739"/>
      <c r="F14" s="739"/>
      <c r="G14" s="739"/>
      <c r="H14" s="739"/>
      <c r="J14" s="74" t="s">
        <v>130</v>
      </c>
      <c r="K14" s="74">
        <v>16500</v>
      </c>
    </row>
    <row r="15" spans="1:11" x14ac:dyDescent="0.2">
      <c r="A15" s="739" t="s">
        <v>77</v>
      </c>
      <c r="B15" s="739"/>
      <c r="C15" s="739"/>
      <c r="D15" s="739"/>
      <c r="E15" s="739"/>
      <c r="F15" s="739"/>
      <c r="G15" s="739"/>
      <c r="H15" s="739"/>
      <c r="J15" s="74" t="s">
        <v>131</v>
      </c>
      <c r="K15" s="74">
        <v>23000</v>
      </c>
    </row>
    <row r="16" spans="1:11" x14ac:dyDescent="0.2">
      <c r="A16" s="739" t="s">
        <v>205</v>
      </c>
      <c r="B16" s="739"/>
      <c r="C16" s="739"/>
      <c r="D16" s="739"/>
      <c r="E16" s="739"/>
      <c r="F16" s="739"/>
      <c r="G16" s="739"/>
      <c r="H16" s="739"/>
      <c r="J16" s="74" t="s">
        <v>132</v>
      </c>
      <c r="K16" s="74">
        <v>34000</v>
      </c>
    </row>
    <row r="17" spans="1:11" x14ac:dyDescent="0.2">
      <c r="A17" s="233"/>
      <c r="B17" s="233"/>
      <c r="C17" s="233"/>
      <c r="D17" s="233"/>
      <c r="E17" s="233"/>
      <c r="F17" s="233"/>
      <c r="G17" s="233"/>
      <c r="H17" s="233"/>
      <c r="J17" s="74" t="s">
        <v>133</v>
      </c>
      <c r="K17" s="74">
        <v>42000</v>
      </c>
    </row>
    <row r="18" spans="1:11" ht="25.5" x14ac:dyDescent="0.2">
      <c r="A18" s="180" t="s">
        <v>17</v>
      </c>
      <c r="B18" s="740" t="s">
        <v>3</v>
      </c>
      <c r="C18" s="740"/>
      <c r="D18" s="181" t="s">
        <v>9</v>
      </c>
      <c r="E18" s="234" t="s">
        <v>4</v>
      </c>
      <c r="F18" s="182" t="s">
        <v>5</v>
      </c>
      <c r="G18" s="234" t="s">
        <v>0</v>
      </c>
      <c r="H18" s="183" t="s">
        <v>6</v>
      </c>
      <c r="J18" s="74" t="s">
        <v>135</v>
      </c>
      <c r="K18" s="74">
        <v>55120</v>
      </c>
    </row>
    <row r="19" spans="1:11" ht="60.75" customHeight="1" x14ac:dyDescent="0.2">
      <c r="A19" s="184"/>
      <c r="B19" s="741" t="s">
        <v>134</v>
      </c>
      <c r="C19" s="741"/>
      <c r="D19" s="185">
        <f>Т.с.!H55</f>
        <v>329458.23</v>
      </c>
      <c r="E19" s="186"/>
      <c r="F19" s="187"/>
      <c r="G19" s="47" t="str">
        <f>CONCATENATE(D19,"*",0.4)</f>
        <v>329458,23*0,4</v>
      </c>
      <c r="H19" s="188">
        <f>ROUND(D19*0.4,2)</f>
        <v>131783.29</v>
      </c>
    </row>
    <row r="20" spans="1:11" ht="69" customHeight="1" x14ac:dyDescent="0.2">
      <c r="A20" s="189"/>
      <c r="B20" s="742" t="s">
        <v>207</v>
      </c>
      <c r="C20" s="742"/>
      <c r="D20" s="190">
        <f>K13</f>
        <v>8000</v>
      </c>
      <c r="E20" s="277" t="s">
        <v>206</v>
      </c>
      <c r="F20" s="192">
        <v>1</v>
      </c>
      <c r="G20" s="193" t="str">
        <f>CONCATENATE(D20,"*",F20)</f>
        <v>8000*1</v>
      </c>
      <c r="H20" s="194">
        <f>ROUND(D20*F20,2)</f>
        <v>8000</v>
      </c>
    </row>
    <row r="21" spans="1:11" ht="33.75" customHeight="1" x14ac:dyDescent="0.2">
      <c r="A21" s="189"/>
      <c r="B21" s="742" t="s">
        <v>41</v>
      </c>
      <c r="C21" s="742"/>
      <c r="D21" s="190"/>
      <c r="E21" s="191"/>
      <c r="F21" s="192"/>
      <c r="G21" s="193"/>
      <c r="H21" s="194">
        <f>H20</f>
        <v>8000</v>
      </c>
    </row>
    <row r="22" spans="1:11" x14ac:dyDescent="0.2">
      <c r="A22" s="233"/>
      <c r="B22" s="233"/>
      <c r="C22" s="233"/>
      <c r="D22" s="233"/>
      <c r="E22" s="233"/>
      <c r="F22" s="233"/>
      <c r="G22" s="233"/>
      <c r="H22" s="233"/>
    </row>
    <row r="23" spans="1:11" ht="115.5" hidden="1" thickBot="1" x14ac:dyDescent="0.25">
      <c r="A23" s="76"/>
      <c r="B23" s="733" t="s">
        <v>78</v>
      </c>
      <c r="C23" s="734"/>
      <c r="D23" s="735"/>
      <c r="E23" s="77" t="s">
        <v>142</v>
      </c>
      <c r="F23" s="78">
        <v>3.351</v>
      </c>
      <c r="G23" s="79" t="s">
        <v>81</v>
      </c>
      <c r="H23" s="80">
        <v>96508.800000000003</v>
      </c>
      <c r="J23" s="74" t="s">
        <v>136</v>
      </c>
      <c r="K23" s="74" t="s">
        <v>136</v>
      </c>
    </row>
    <row r="24" spans="1:11" ht="115.5" hidden="1" thickBot="1" x14ac:dyDescent="0.25">
      <c r="A24" s="81"/>
      <c r="B24" s="82" t="s">
        <v>64</v>
      </c>
      <c r="C24" s="83"/>
      <c r="D24" s="83"/>
      <c r="E24" s="83"/>
      <c r="F24" s="83"/>
      <c r="G24" s="83"/>
      <c r="H24" s="84">
        <v>96508.800000000003</v>
      </c>
      <c r="J24" s="74" t="s">
        <v>137</v>
      </c>
      <c r="K24" s="74" t="s">
        <v>137</v>
      </c>
    </row>
    <row r="25" spans="1:11" s="49" customFormat="1" ht="115.5" hidden="1" thickBot="1" x14ac:dyDescent="0.25">
      <c r="A25" s="85"/>
      <c r="B25" s="736" t="s">
        <v>65</v>
      </c>
      <c r="C25" s="737"/>
      <c r="D25" s="738"/>
      <c r="E25" s="86" t="s">
        <v>143</v>
      </c>
      <c r="F25" s="87">
        <v>1</v>
      </c>
      <c r="G25" s="88" t="s">
        <v>82</v>
      </c>
      <c r="H25" s="89">
        <v>96508.800000000003</v>
      </c>
      <c r="I25" s="90"/>
      <c r="J25" s="74" t="s">
        <v>138</v>
      </c>
      <c r="K25" s="74" t="s">
        <v>138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83</v>
      </c>
      <c r="H26" s="89">
        <v>17371.580000000002</v>
      </c>
      <c r="I26" s="96"/>
      <c r="J26" s="74" t="s">
        <v>139</v>
      </c>
      <c r="K26" s="74" t="s">
        <v>139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140</v>
      </c>
      <c r="K27" s="74" t="s">
        <v>140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B31" s="12">
        <f>'С С Р'!B29</f>
        <v>0</v>
      </c>
      <c r="D31" s="13"/>
      <c r="F31" s="14">
        <f>'С С Р'!E29</f>
        <v>0</v>
      </c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B34" s="12">
        <f>'С С Р'!B33</f>
        <v>0</v>
      </c>
      <c r="D34" s="13"/>
      <c r="F34" s="534">
        <f>'С С Р'!E33</f>
        <v>0</v>
      </c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" sqref="G1:G3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90"/>
      <c r="G1" s="491"/>
      <c r="H1" s="492"/>
    </row>
    <row r="2" spans="1:9" x14ac:dyDescent="0.25">
      <c r="C2" s="490"/>
      <c r="G2" s="491"/>
      <c r="H2" s="493"/>
    </row>
    <row r="3" spans="1:9" ht="15.75" x14ac:dyDescent="0.25">
      <c r="C3" s="490"/>
      <c r="G3" s="494"/>
      <c r="H3" s="493"/>
    </row>
    <row r="4" spans="1:9" s="496" customFormat="1" ht="14.25" x14ac:dyDescent="0.2">
      <c r="A4" s="495"/>
      <c r="B4" s="495"/>
      <c r="C4" s="495"/>
      <c r="D4" s="495"/>
      <c r="E4" s="495"/>
      <c r="F4" s="495"/>
      <c r="G4" s="495"/>
      <c r="H4" s="495"/>
    </row>
    <row r="5" spans="1:9" x14ac:dyDescent="0.2">
      <c r="D5" s="497"/>
      <c r="F5" s="498"/>
      <c r="G5" s="499"/>
    </row>
    <row r="6" spans="1:9" x14ac:dyDescent="0.2">
      <c r="A6" s="761" t="s">
        <v>283</v>
      </c>
      <c r="B6" s="761"/>
      <c r="C6" s="761"/>
      <c r="D6" s="761"/>
      <c r="E6" s="761"/>
      <c r="F6" s="761"/>
      <c r="G6" s="761"/>
      <c r="H6" s="761"/>
    </row>
    <row r="7" spans="1:9" ht="48" customHeight="1" x14ac:dyDescent="0.2">
      <c r="A7" s="691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здание»,  расположенного по адресу:
г. Москва, Бродников пер., д.7, стр.2.</v>
      </c>
      <c r="B7" s="691"/>
      <c r="C7" s="691"/>
      <c r="D7" s="691"/>
      <c r="E7" s="691"/>
      <c r="F7" s="691"/>
      <c r="G7" s="691"/>
      <c r="H7" s="691"/>
    </row>
    <row r="8" spans="1:9" ht="15.75" x14ac:dyDescent="0.2">
      <c r="A8" s="762"/>
      <c r="B8" s="762"/>
      <c r="C8" s="762"/>
      <c r="D8" s="762"/>
      <c r="E8" s="762"/>
      <c r="F8" s="762"/>
      <c r="G8" s="762"/>
      <c r="H8" s="762"/>
    </row>
    <row r="9" spans="1:9" ht="15.75" x14ac:dyDescent="0.2">
      <c r="A9" s="762" t="s">
        <v>284</v>
      </c>
      <c r="B9" s="762"/>
      <c r="C9" s="762"/>
      <c r="D9" s="762"/>
      <c r="E9" s="762"/>
      <c r="F9" s="762"/>
      <c r="G9" s="762"/>
      <c r="H9" s="762"/>
    </row>
    <row r="10" spans="1:9" x14ac:dyDescent="0.2">
      <c r="A10" s="763" t="s">
        <v>285</v>
      </c>
      <c r="B10" s="763"/>
      <c r="C10" s="763"/>
      <c r="D10" s="763"/>
      <c r="E10" s="763"/>
      <c r="F10" s="763"/>
      <c r="G10" s="763"/>
      <c r="H10" s="763"/>
    </row>
    <row r="11" spans="1:9" x14ac:dyDescent="0.2">
      <c r="A11" s="761" t="s">
        <v>286</v>
      </c>
      <c r="B11" s="761"/>
      <c r="C11" s="761"/>
      <c r="D11" s="761"/>
      <c r="E11" s="761"/>
      <c r="F11" s="761"/>
      <c r="G11" s="761"/>
      <c r="H11" s="761"/>
    </row>
    <row r="12" spans="1:9" ht="15.75" thickBot="1" x14ac:dyDescent="0.25">
      <c r="B12" s="500"/>
      <c r="C12" s="500"/>
      <c r="D12" s="1"/>
      <c r="I12" s="501"/>
    </row>
    <row r="13" spans="1:9" x14ac:dyDescent="0.2">
      <c r="A13" s="752">
        <v>1</v>
      </c>
      <c r="B13" s="755" t="s">
        <v>287</v>
      </c>
      <c r="C13" s="748">
        <v>1</v>
      </c>
      <c r="D13" s="757">
        <f>ROUND(C15+C13*C16,2)</f>
        <v>86460</v>
      </c>
      <c r="E13" s="759" t="s">
        <v>288</v>
      </c>
      <c r="F13" s="748">
        <v>1.2</v>
      </c>
      <c r="G13" s="748" t="str">
        <f>CONCATENATE(D13," х ",F13," х ",F15)</f>
        <v>86460 х 1,2 х 0,3</v>
      </c>
      <c r="H13" s="750">
        <f>ROUND(D13*F13*F15,2)</f>
        <v>31125.599999999999</v>
      </c>
    </row>
    <row r="14" spans="1:9" x14ac:dyDescent="0.2">
      <c r="A14" s="753"/>
      <c r="B14" s="756"/>
      <c r="C14" s="749"/>
      <c r="D14" s="758"/>
      <c r="E14" s="760"/>
      <c r="F14" s="749"/>
      <c r="G14" s="749"/>
      <c r="H14" s="751"/>
    </row>
    <row r="15" spans="1:9" ht="75" x14ac:dyDescent="0.2">
      <c r="A15" s="753"/>
      <c r="B15" s="502" t="s">
        <v>289</v>
      </c>
      <c r="C15" s="503">
        <v>86460</v>
      </c>
      <c r="D15" s="504"/>
      <c r="E15" s="505" t="s">
        <v>290</v>
      </c>
      <c r="F15" s="506">
        <v>0.3</v>
      </c>
      <c r="G15" s="507"/>
      <c r="H15" s="508"/>
    </row>
    <row r="16" spans="1:9" ht="15.75" thickBot="1" x14ac:dyDescent="0.25">
      <c r="A16" s="754"/>
      <c r="B16" s="509" t="s">
        <v>12</v>
      </c>
      <c r="C16" s="510"/>
      <c r="D16" s="510"/>
      <c r="E16" s="511"/>
      <c r="F16" s="512"/>
      <c r="G16" s="513"/>
      <c r="H16" s="514"/>
    </row>
    <row r="17" spans="1:9" x14ac:dyDescent="0.2">
      <c r="A17" s="752">
        <v>2</v>
      </c>
      <c r="B17" s="755" t="s">
        <v>291</v>
      </c>
      <c r="C17" s="748">
        <v>1</v>
      </c>
      <c r="D17" s="757">
        <f>ROUND(C19+C17*C20,2)</f>
        <v>30603</v>
      </c>
      <c r="E17" s="759" t="s">
        <v>288</v>
      </c>
      <c r="F17" s="748">
        <v>1.2</v>
      </c>
      <c r="G17" s="748" t="str">
        <f>CONCATENATE(D17," х ",F17)</f>
        <v>30603 х 1,2</v>
      </c>
      <c r="H17" s="750">
        <f>ROUND(D17*F17,2)</f>
        <v>36723.599999999999</v>
      </c>
    </row>
    <row r="18" spans="1:9" x14ac:dyDescent="0.2">
      <c r="A18" s="753"/>
      <c r="B18" s="756"/>
      <c r="C18" s="749"/>
      <c r="D18" s="758"/>
      <c r="E18" s="760"/>
      <c r="F18" s="749"/>
      <c r="G18" s="749"/>
      <c r="H18" s="751"/>
    </row>
    <row r="19" spans="1:9" ht="30" x14ac:dyDescent="0.2">
      <c r="A19" s="753"/>
      <c r="B19" s="502" t="s">
        <v>292</v>
      </c>
      <c r="C19" s="503">
        <v>25980</v>
      </c>
      <c r="D19" s="504"/>
      <c r="E19" s="505"/>
      <c r="F19" s="506"/>
      <c r="G19" s="507"/>
      <c r="H19" s="508"/>
    </row>
    <row r="20" spans="1:9" ht="15.75" thickBot="1" x14ac:dyDescent="0.25">
      <c r="A20" s="754"/>
      <c r="B20" s="509" t="s">
        <v>12</v>
      </c>
      <c r="C20" s="515">
        <v>4623</v>
      </c>
      <c r="D20" s="510"/>
      <c r="E20" s="511"/>
      <c r="F20" s="512"/>
      <c r="G20" s="513"/>
      <c r="H20" s="514"/>
    </row>
    <row r="21" spans="1:9" ht="15.75" thickBot="1" x14ac:dyDescent="0.25">
      <c r="A21" s="516"/>
      <c r="B21" s="517" t="s">
        <v>293</v>
      </c>
      <c r="C21" s="518"/>
      <c r="D21" s="518"/>
      <c r="E21" s="518"/>
      <c r="F21" s="518"/>
      <c r="G21" s="518"/>
      <c r="H21" s="519">
        <f>ROUND(H13+H17,2)</f>
        <v>67849.2</v>
      </c>
      <c r="I21" s="1"/>
    </row>
    <row r="22" spans="1:9" ht="30.75" hidden="1" thickBot="1" x14ac:dyDescent="0.25">
      <c r="A22" s="520"/>
      <c r="B22" s="747" t="s">
        <v>294</v>
      </c>
      <c r="C22" s="747"/>
      <c r="D22" s="747"/>
      <c r="E22" s="521" t="s">
        <v>295</v>
      </c>
      <c r="F22" s="522">
        <v>1</v>
      </c>
      <c r="G22" s="523" t="str">
        <f>CONCATENATE(H21," х ",F22)</f>
        <v>67849,2 х 1</v>
      </c>
      <c r="H22" s="524">
        <f>ROUND(H21*F22,2)</f>
        <v>67849.2</v>
      </c>
    </row>
    <row r="23" spans="1:9" ht="15.75" thickBot="1" x14ac:dyDescent="0.25">
      <c r="A23" s="520"/>
      <c r="B23" s="747" t="s">
        <v>296</v>
      </c>
      <c r="C23" s="747"/>
      <c r="D23" s="747"/>
      <c r="E23" s="525" t="s">
        <v>297</v>
      </c>
      <c r="F23" s="525">
        <v>1.19</v>
      </c>
      <c r="G23" s="526" t="str">
        <f>CONCATENATE(H22," / ",F23)</f>
        <v>67849,2 / 1,19</v>
      </c>
      <c r="H23" s="519">
        <f>ROUND(H22/F23,2)</f>
        <v>57016.13</v>
      </c>
    </row>
    <row r="24" spans="1:9" x14ac:dyDescent="0.2">
      <c r="A24" s="527"/>
      <c r="B24" s="528"/>
      <c r="C24" s="528"/>
      <c r="D24" s="528"/>
      <c r="E24" s="529"/>
      <c r="F24" s="530"/>
      <c r="G24" s="531"/>
      <c r="H24" s="532"/>
    </row>
    <row r="25" spans="1:9" x14ac:dyDescent="0.2">
      <c r="A25" s="527"/>
      <c r="B25" s="528"/>
      <c r="C25" s="528"/>
      <c r="D25" s="528"/>
      <c r="E25" s="529"/>
      <c r="F25" s="530"/>
      <c r="G25" s="531"/>
      <c r="H25" s="532"/>
    </row>
    <row r="27" spans="1:9" x14ac:dyDescent="0.2">
      <c r="B27" s="1">
        <f>'С С Р'!B29</f>
        <v>0</v>
      </c>
      <c r="F27" s="535">
        <f>'С С Р'!E29</f>
        <v>0</v>
      </c>
    </row>
    <row r="28" spans="1:9" x14ac:dyDescent="0.2">
      <c r="F28" s="535"/>
    </row>
    <row r="29" spans="1:9" x14ac:dyDescent="0.2">
      <c r="F29" s="535"/>
    </row>
    <row r="30" spans="1:9" x14ac:dyDescent="0.2">
      <c r="F30" s="535"/>
    </row>
    <row r="31" spans="1:9" x14ac:dyDescent="0.2">
      <c r="B31" s="1">
        <f>'С С Р'!B33</f>
        <v>0</v>
      </c>
      <c r="F31" s="535">
        <f>'С С Р'!E33</f>
        <v>0</v>
      </c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A2" sqref="A1:A2"/>
    </sheetView>
  </sheetViews>
  <sheetFormatPr defaultRowHeight="12.75" x14ac:dyDescent="0.2"/>
  <cols>
    <col min="1" max="1" width="4.140625" style="202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5" customWidth="1"/>
    <col min="11" max="11" width="11" style="51" customWidth="1"/>
    <col min="12" max="12" width="11" style="205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4" t="s">
        <v>178</v>
      </c>
    </row>
    <row r="2" spans="1:250" s="52" customFormat="1" ht="19.5" customHeight="1" x14ac:dyDescent="0.2">
      <c r="A2" s="100"/>
      <c r="B2" s="100"/>
      <c r="C2" s="100"/>
      <c r="D2" s="100"/>
      <c r="J2" s="576"/>
      <c r="N2" s="243"/>
      <c r="O2" s="243"/>
    </row>
    <row r="3" spans="1:250" s="52" customFormat="1" ht="19.5" hidden="1" customHeight="1" x14ac:dyDescent="0.2">
      <c r="A3" s="100"/>
      <c r="B3" s="100"/>
      <c r="C3" s="100"/>
      <c r="D3" s="100"/>
      <c r="E3" s="232"/>
      <c r="G3" s="232"/>
      <c r="H3" s="51"/>
      <c r="I3" s="206" t="s">
        <v>178</v>
      </c>
      <c r="J3" s="205"/>
      <c r="K3" s="51"/>
      <c r="L3" s="205"/>
      <c r="M3" s="51"/>
      <c r="N3" s="243"/>
      <c r="O3" s="243"/>
    </row>
    <row r="4" spans="1:250" s="52" customFormat="1" ht="19.5" hidden="1" customHeight="1" x14ac:dyDescent="0.2">
      <c r="A4" s="100"/>
      <c r="B4" s="100"/>
      <c r="C4" s="100"/>
      <c r="D4" s="100"/>
      <c r="E4" s="232"/>
      <c r="G4" s="232"/>
      <c r="H4" s="160"/>
      <c r="I4" s="251" t="s">
        <v>179</v>
      </c>
      <c r="J4" s="577"/>
      <c r="K4" s="252"/>
      <c r="L4" s="253"/>
      <c r="M4" s="245" t="s">
        <v>180</v>
      </c>
      <c r="N4" s="243"/>
      <c r="O4" s="243"/>
    </row>
    <row r="5" spans="1:250" s="52" customFormat="1" ht="19.5" customHeight="1" x14ac:dyDescent="0.2">
      <c r="D5" s="72"/>
      <c r="H5" s="160"/>
      <c r="I5" s="246" t="s">
        <v>181</v>
      </c>
      <c r="J5" s="247" t="s">
        <v>182</v>
      </c>
      <c r="K5" s="246" t="s">
        <v>183</v>
      </c>
      <c r="L5" s="247" t="s">
        <v>184</v>
      </c>
      <c r="M5" s="248"/>
      <c r="N5" s="243"/>
      <c r="O5" s="243"/>
    </row>
    <row r="6" spans="1:250" s="52" customFormat="1" ht="19.5" customHeight="1" x14ac:dyDescent="0.2">
      <c r="D6" s="72"/>
      <c r="E6" s="232"/>
      <c r="G6" s="233"/>
      <c r="H6" s="207" t="s">
        <v>185</v>
      </c>
      <c r="I6" s="203">
        <v>0.01</v>
      </c>
      <c r="J6" s="578">
        <v>0.15</v>
      </c>
      <c r="K6" s="203">
        <v>1.5</v>
      </c>
      <c r="L6" s="208">
        <f>J6-(J6-J7)*(M16-I6)/(I7-I6)</f>
        <v>-0.17558506999999993</v>
      </c>
      <c r="N6" s="243"/>
      <c r="O6" s="243"/>
    </row>
    <row r="7" spans="1:250" ht="20.25" customHeight="1" x14ac:dyDescent="0.2">
      <c r="A7" s="761" t="s">
        <v>298</v>
      </c>
      <c r="B7" s="761"/>
      <c r="C7" s="761"/>
      <c r="D7" s="761"/>
      <c r="E7" s="761"/>
      <c r="F7" s="761"/>
      <c r="G7" s="761"/>
      <c r="H7" s="160"/>
      <c r="I7" s="203">
        <v>0.05</v>
      </c>
      <c r="J7" s="578">
        <v>0.11</v>
      </c>
      <c r="K7" s="203">
        <v>5.5</v>
      </c>
      <c r="L7" s="208">
        <f>J7-(J7-J8)*(M16-I7)/(I8-I7)</f>
        <v>-3.279253499999997E-2</v>
      </c>
      <c r="M7" s="209"/>
      <c r="N7" s="209"/>
      <c r="O7" s="243"/>
    </row>
    <row r="8" spans="1:250" s="195" customFormat="1" ht="13.5" x14ac:dyDescent="0.2">
      <c r="A8" s="766"/>
      <c r="B8" s="766"/>
      <c r="C8" s="766"/>
      <c r="D8" s="766"/>
      <c r="E8" s="766"/>
      <c r="F8" s="766"/>
      <c r="G8" s="766"/>
      <c r="H8" s="160"/>
      <c r="I8" s="203">
        <v>0.1</v>
      </c>
      <c r="J8" s="578">
        <v>8.5000000000000006E-2</v>
      </c>
      <c r="K8" s="203">
        <v>8.5</v>
      </c>
      <c r="L8" s="208">
        <f>J8-(J8-J9)*(M16-I8)/(I9-I8)</f>
        <v>3.7882985999999952E-2</v>
      </c>
      <c r="M8" s="209"/>
      <c r="N8" s="209"/>
      <c r="O8" s="243"/>
    </row>
    <row r="9" spans="1:250" s="195" customFormat="1" ht="56.25" customHeight="1" x14ac:dyDescent="0.2">
      <c r="A9" s="766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«Административное здание»,  расположенного по адресу:
г. Москва, Бродников пер., д.7, стр.2.</v>
      </c>
      <c r="B9" s="766"/>
      <c r="C9" s="766"/>
      <c r="D9" s="766"/>
      <c r="E9" s="766"/>
      <c r="F9" s="766"/>
      <c r="G9" s="766"/>
      <c r="H9" s="160"/>
      <c r="I9" s="203">
        <v>0.15</v>
      </c>
      <c r="J9" s="578">
        <v>7.4999999999999997E-2</v>
      </c>
      <c r="K9" s="203">
        <v>11.25</v>
      </c>
      <c r="L9" s="208">
        <f>J9-(J9-J10)*(M16-I9)/(I10-I9)</f>
        <v>4.5306388800000034E-2</v>
      </c>
      <c r="M9" s="209"/>
      <c r="N9" s="209"/>
      <c r="O9" s="243"/>
    </row>
    <row r="10" spans="1:250" s="52" customFormat="1" ht="17.25" customHeight="1" thickBot="1" x14ac:dyDescent="0.25">
      <c r="A10" s="771" t="s">
        <v>208</v>
      </c>
      <c r="B10" s="771"/>
      <c r="C10" s="771"/>
      <c r="D10" s="771"/>
      <c r="E10" s="771"/>
      <c r="F10" s="771"/>
      <c r="G10" s="771"/>
      <c r="H10" s="160"/>
      <c r="I10" s="203">
        <v>0.2</v>
      </c>
      <c r="J10" s="578">
        <v>6.7000000000000004E-2</v>
      </c>
      <c r="K10" s="203">
        <v>13.4</v>
      </c>
      <c r="L10" s="208">
        <f>J10-(J10-J11)*(M16-I10)/(I11-I10)</f>
        <v>4.2594687399999998E-2</v>
      </c>
      <c r="M10" s="209"/>
      <c r="N10" s="209"/>
      <c r="O10" s="243"/>
    </row>
    <row r="11" spans="1:250" s="195" customFormat="1" ht="43.5" customHeight="1" thickBot="1" x14ac:dyDescent="0.25">
      <c r="A11" s="767" t="s">
        <v>190</v>
      </c>
      <c r="B11" s="768"/>
      <c r="C11" s="768"/>
      <c r="D11" s="768"/>
      <c r="E11" s="768"/>
      <c r="F11" s="768"/>
      <c r="G11" s="769"/>
      <c r="H11" s="160"/>
      <c r="I11" s="203">
        <v>0.25</v>
      </c>
      <c r="J11" s="578">
        <v>5.8000000000000003E-2</v>
      </c>
      <c r="K11" s="203">
        <v>14.5</v>
      </c>
      <c r="L11" s="208">
        <f>J11-(J11-J12)*(M16-I11)/(I12-I11)</f>
        <v>5.45765972E-2</v>
      </c>
      <c r="M11" s="209"/>
      <c r="N11" s="209"/>
      <c r="O11" s="243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6" t="s">
        <v>166</v>
      </c>
      <c r="B12" s="210" t="s">
        <v>167</v>
      </c>
      <c r="C12" s="211" t="s">
        <v>9</v>
      </c>
      <c r="D12" s="210" t="s">
        <v>4</v>
      </c>
      <c r="E12" s="212" t="s">
        <v>168</v>
      </c>
      <c r="F12" s="213" t="s">
        <v>0</v>
      </c>
      <c r="G12" s="199" t="s">
        <v>6</v>
      </c>
      <c r="H12" s="160"/>
      <c r="I12" s="203">
        <v>0.3</v>
      </c>
      <c r="J12" s="578">
        <v>5.6000000000000001E-2</v>
      </c>
      <c r="K12" s="203">
        <v>16.8</v>
      </c>
      <c r="L12" s="208">
        <f>J12-(J12-J13)*(M16-I12)/(I13-I12)</f>
        <v>5.2441493000000006E-2</v>
      </c>
      <c r="M12" s="209"/>
      <c r="N12" s="209"/>
      <c r="O12" s="243"/>
    </row>
    <row r="13" spans="1:250" ht="14.25" thickBot="1" x14ac:dyDescent="0.25">
      <c r="A13" s="226"/>
      <c r="B13" s="214"/>
      <c r="C13" s="196"/>
      <c r="D13" s="227"/>
      <c r="E13" s="197"/>
      <c r="F13" s="198"/>
      <c r="G13" s="199"/>
      <c r="H13" s="160"/>
      <c r="I13" s="203">
        <v>0.4</v>
      </c>
      <c r="J13" s="578">
        <v>4.5999999999999999E-2</v>
      </c>
      <c r="K13" s="203">
        <v>18.399999999999999</v>
      </c>
      <c r="L13" s="208">
        <f>J13-(J13-J14)*(M16-I13)/(I14-I13)</f>
        <v>5.0509045100000004E-2</v>
      </c>
      <c r="M13" s="209"/>
      <c r="N13" s="209"/>
      <c r="O13" s="243"/>
    </row>
    <row r="14" spans="1:250" s="12" customFormat="1" ht="39" thickBot="1" x14ac:dyDescent="0.25">
      <c r="A14" s="200">
        <v>1</v>
      </c>
      <c r="B14" s="215" t="s">
        <v>169</v>
      </c>
      <c r="C14" s="216">
        <f>Т.с.!I77+'ООС+ТР'!H61+РДП!H23</f>
        <v>520156.86</v>
      </c>
      <c r="D14" s="228"/>
      <c r="E14" s="217"/>
      <c r="F14" s="218"/>
      <c r="G14" s="219"/>
      <c r="H14" s="160"/>
      <c r="I14" s="203">
        <v>0.5</v>
      </c>
      <c r="J14" s="578">
        <v>3.9E-2</v>
      </c>
      <c r="K14" s="203">
        <v>19.5</v>
      </c>
      <c r="L14" s="208">
        <f>J14-(J14-J16)*(M16-I14)/(I16-I14)</f>
        <v>4.5576597199999999E-2</v>
      </c>
      <c r="M14" s="209"/>
      <c r="N14" s="209"/>
      <c r="O14" s="243"/>
    </row>
    <row r="15" spans="1:250" s="12" customFormat="1" ht="30.75" hidden="1" customHeight="1" thickBot="1" x14ac:dyDescent="0.25">
      <c r="A15" s="201"/>
      <c r="B15" s="764" t="s">
        <v>170</v>
      </c>
      <c r="C15" s="770"/>
      <c r="D15" s="220" t="s">
        <v>171</v>
      </c>
      <c r="E15" s="217">
        <v>1</v>
      </c>
      <c r="F15" s="218" t="s">
        <v>176</v>
      </c>
      <c r="G15" s="219">
        <v>287966.15000000002</v>
      </c>
      <c r="J15" s="579"/>
      <c r="M15" s="209"/>
      <c r="N15" s="209"/>
      <c r="O15" s="243"/>
    </row>
    <row r="16" spans="1:250" s="12" customFormat="1" ht="39" thickBot="1" x14ac:dyDescent="0.25">
      <c r="A16" s="201"/>
      <c r="B16" s="764" t="s">
        <v>172</v>
      </c>
      <c r="C16" s="765"/>
      <c r="D16" s="225" t="s">
        <v>173</v>
      </c>
      <c r="E16" s="235">
        <v>1.55</v>
      </c>
      <c r="F16" s="235" t="str">
        <f>CONCATENATE(C14,"/",1.55)</f>
        <v>520156,86/1,55</v>
      </c>
      <c r="G16" s="221">
        <f>ROUND(C14/1.55,2)</f>
        <v>335585.07</v>
      </c>
      <c r="H16" s="160"/>
      <c r="I16" s="203">
        <v>0.6</v>
      </c>
      <c r="J16" s="578">
        <v>3.5000000000000003E-2</v>
      </c>
      <c r="K16" s="203">
        <v>21</v>
      </c>
      <c r="L16" s="208">
        <f>J16-(J16-J17)*(M16-I16)/(I17-I16)</f>
        <v>4.5576597200000013E-2</v>
      </c>
      <c r="M16" s="249">
        <f>G16/1000000</f>
        <v>0.33558506999999999</v>
      </c>
      <c r="N16" s="209"/>
      <c r="O16" s="243"/>
    </row>
    <row r="17" spans="1:15" s="12" customFormat="1" ht="26.25" thickBot="1" x14ac:dyDescent="0.25">
      <c r="A17" s="201"/>
      <c r="B17" s="764" t="s">
        <v>174</v>
      </c>
      <c r="C17" s="765"/>
      <c r="D17" s="55" t="s">
        <v>191</v>
      </c>
      <c r="E17" s="222">
        <f>ROUND(L12,4)</f>
        <v>5.2400000000000002E-2</v>
      </c>
      <c r="F17" s="55" t="str">
        <f>CONCATENATE(G16,"*",E17,"*",1.55)</f>
        <v>335585,07*0,0524*1,55</v>
      </c>
      <c r="G17" s="223">
        <f>ROUND(G16*E17*1.55,2)</f>
        <v>27256.22</v>
      </c>
      <c r="H17" s="160"/>
      <c r="I17" s="203">
        <v>0.7</v>
      </c>
      <c r="J17" s="578">
        <v>3.1E-2</v>
      </c>
      <c r="K17" s="203">
        <v>21.7</v>
      </c>
      <c r="L17" s="208">
        <f>J17-(J17-J18)*(M16-I17)/(I18-I17)</f>
        <v>3.8288298599999986E-2</v>
      </c>
      <c r="M17" s="209"/>
      <c r="N17" s="209"/>
      <c r="O17" s="243"/>
    </row>
    <row r="18" spans="1:15" ht="13.5" x14ac:dyDescent="0.2">
      <c r="H18" s="160"/>
      <c r="I18" s="203">
        <v>0.8</v>
      </c>
      <c r="J18" s="578">
        <v>2.9000000000000001E-2</v>
      </c>
      <c r="K18" s="203">
        <v>23.2</v>
      </c>
      <c r="L18" s="208">
        <f>J18-(J18-J19)*(M16-I18)/(I19-I18)</f>
        <v>4.2932447900000018E-2</v>
      </c>
      <c r="M18" s="209"/>
      <c r="O18" s="243"/>
    </row>
    <row r="19" spans="1:15" ht="13.5" x14ac:dyDescent="0.2">
      <c r="H19" s="160"/>
      <c r="I19" s="203">
        <v>0.9</v>
      </c>
      <c r="J19" s="578">
        <v>2.5999999999999999E-2</v>
      </c>
      <c r="K19" s="203">
        <v>23.4</v>
      </c>
      <c r="L19" s="208">
        <f>J19-(J19-J20)*(M16-I19)/(I20-I19)</f>
        <v>3.7288298599999992E-2</v>
      </c>
      <c r="M19" s="209"/>
      <c r="N19" s="209"/>
      <c r="O19" s="243"/>
    </row>
    <row r="20" spans="1:15" ht="13.5" x14ac:dyDescent="0.2">
      <c r="H20" s="160"/>
      <c r="I20" s="203">
        <v>1</v>
      </c>
      <c r="J20" s="578">
        <v>2.4E-2</v>
      </c>
      <c r="K20" s="203">
        <v>24</v>
      </c>
      <c r="L20" s="208">
        <f>J20-(J20-J21)*(M16-I20)/(I21-I20)</f>
        <v>3.06441493E-2</v>
      </c>
      <c r="M20" s="160"/>
      <c r="O20" s="243"/>
    </row>
    <row r="21" spans="1:15" ht="13.5" x14ac:dyDescent="0.2">
      <c r="B21" s="51">
        <f>'С С Р'!B29</f>
        <v>0</v>
      </c>
      <c r="E21" s="51">
        <f>'С С Р'!E29</f>
        <v>0</v>
      </c>
      <c r="H21" s="160"/>
      <c r="I21" s="203">
        <v>1.1000000000000001</v>
      </c>
      <c r="J21" s="578">
        <v>2.3E-2</v>
      </c>
      <c r="K21" s="203">
        <v>25.3</v>
      </c>
      <c r="L21" s="208">
        <f>J21-(J21-J22)*(M16-I21)/(I22-I21)</f>
        <v>3.0644149300000017E-2</v>
      </c>
      <c r="M21" s="160"/>
      <c r="O21" s="243"/>
    </row>
    <row r="22" spans="1:15" ht="13.5" x14ac:dyDescent="0.2">
      <c r="H22" s="160"/>
      <c r="I22" s="203">
        <v>1.2</v>
      </c>
      <c r="J22" s="578">
        <v>2.1999999999999999E-2</v>
      </c>
      <c r="K22" s="203">
        <v>26.4</v>
      </c>
      <c r="L22" s="208">
        <f>J22-(J22-J23)*(M16-I22)/(I23-I22)</f>
        <v>2.6322074649999999E-2</v>
      </c>
      <c r="M22" s="160"/>
      <c r="N22" s="243"/>
      <c r="O22" s="243"/>
    </row>
    <row r="23" spans="1:15" ht="13.5" x14ac:dyDescent="0.2">
      <c r="H23" s="160"/>
      <c r="I23" s="203">
        <v>1.3</v>
      </c>
      <c r="J23" s="578">
        <v>2.1499999999999998E-2</v>
      </c>
      <c r="K23" s="203">
        <v>27.3</v>
      </c>
      <c r="L23" s="208">
        <f>J23-(J23-J24)*(M16-I23)/(I24-I23)</f>
        <v>2.342882985999999E-2</v>
      </c>
      <c r="M23" s="160"/>
      <c r="O23" s="243"/>
    </row>
    <row r="24" spans="1:15" ht="13.5" x14ac:dyDescent="0.2">
      <c r="H24" s="160"/>
      <c r="I24" s="203">
        <v>1.4</v>
      </c>
      <c r="J24" s="578">
        <v>2.1299999999999999E-2</v>
      </c>
      <c r="K24" s="203">
        <v>29.8</v>
      </c>
      <c r="L24" s="208">
        <f>J24-(J24-J25)*(M16-I24)/(I25-I24)</f>
        <v>2.4493244789999976E-2</v>
      </c>
      <c r="M24" s="160"/>
      <c r="N24" s="243"/>
      <c r="O24" s="243"/>
    </row>
    <row r="25" spans="1:15" ht="13.5" x14ac:dyDescent="0.2">
      <c r="H25" s="160"/>
      <c r="I25" s="203">
        <v>1.5</v>
      </c>
      <c r="J25" s="578">
        <v>2.1000000000000001E-2</v>
      </c>
      <c r="K25" s="203">
        <v>31.5</v>
      </c>
      <c r="L25" s="208">
        <f>J25-(J25-J26)*(M16-I25)/(I26-I25)</f>
        <v>2.5657659720000003E-2</v>
      </c>
      <c r="M25" s="160"/>
      <c r="N25" s="243"/>
      <c r="O25" s="243"/>
    </row>
    <row r="26" spans="1:15" ht="13.5" x14ac:dyDescent="0.2">
      <c r="B26" s="51">
        <f>'С С Р'!B33</f>
        <v>0</v>
      </c>
      <c r="E26" s="51">
        <f>'С С Р'!E33</f>
        <v>0</v>
      </c>
      <c r="H26" s="160"/>
      <c r="I26" s="203">
        <v>2</v>
      </c>
      <c r="J26" s="578">
        <v>1.9E-2</v>
      </c>
      <c r="K26" s="203">
        <v>38</v>
      </c>
      <c r="L26" s="208">
        <f>J26-(J26-J27)*(M16-I26)/(I27-I26)</f>
        <v>1.9E-2</v>
      </c>
      <c r="M26" s="160"/>
      <c r="N26" s="243"/>
      <c r="O26" s="243"/>
    </row>
    <row r="27" spans="1:15" ht="13.5" x14ac:dyDescent="0.2">
      <c r="H27" s="160"/>
      <c r="I27" s="203">
        <v>3</v>
      </c>
      <c r="J27" s="578">
        <v>1.9E-2</v>
      </c>
      <c r="K27" s="203">
        <v>45</v>
      </c>
      <c r="L27" s="208">
        <f>J27-(J27-J28)*(M16-I27)/(I28-I27)</f>
        <v>3.7650904509999999E-2</v>
      </c>
      <c r="M27" s="160"/>
      <c r="N27" s="243"/>
      <c r="O27" s="243"/>
    </row>
    <row r="28" spans="1:15" ht="13.5" x14ac:dyDescent="0.2">
      <c r="H28" s="160"/>
      <c r="I28" s="203">
        <v>4</v>
      </c>
      <c r="J28" s="578">
        <v>1.2E-2</v>
      </c>
      <c r="K28" s="203">
        <v>48</v>
      </c>
      <c r="L28" s="208">
        <f>J28-(J28-J29)*(M16-I28)/(I29-I28)</f>
        <v>1.5664414930000002E-2</v>
      </c>
      <c r="M28" s="160"/>
      <c r="N28" s="243"/>
      <c r="O28" s="243"/>
    </row>
    <row r="29" spans="1:15" ht="13.5" x14ac:dyDescent="0.2">
      <c r="H29" s="160"/>
      <c r="I29" s="203">
        <v>5</v>
      </c>
      <c r="J29" s="578">
        <v>1.0999999999999999E-2</v>
      </c>
      <c r="K29" s="203">
        <v>55</v>
      </c>
      <c r="L29" s="208">
        <f>J29-(J29-J30)*(M16-I29)/(I30-I29)</f>
        <v>1.3332207464999994E-2</v>
      </c>
      <c r="M29" s="160"/>
      <c r="N29" s="243"/>
      <c r="O29" s="243"/>
    </row>
    <row r="30" spans="1:15" ht="13.5" x14ac:dyDescent="0.2">
      <c r="H30" s="160"/>
      <c r="I30" s="203">
        <v>6</v>
      </c>
      <c r="J30" s="578">
        <v>1.0500000000000001E-2</v>
      </c>
      <c r="K30" s="203">
        <v>63</v>
      </c>
      <c r="L30" s="208">
        <f>J30-(J30-J31)*(M16-I30)/(I31-I30)</f>
        <v>1.3332207465000002E-2</v>
      </c>
      <c r="M30" s="160"/>
      <c r="N30" s="243"/>
      <c r="O30" s="243"/>
    </row>
    <row r="31" spans="1:15" ht="13.5" x14ac:dyDescent="0.2">
      <c r="H31" s="160"/>
      <c r="I31" s="203">
        <v>7</v>
      </c>
      <c r="J31" s="578">
        <v>0.01</v>
      </c>
      <c r="K31" s="203">
        <v>70</v>
      </c>
      <c r="L31" s="208">
        <f>J31-(J31-J32)*(M16-I31)/(I32-I31)</f>
        <v>1.3998648957999999E-2</v>
      </c>
      <c r="M31" s="160"/>
      <c r="N31" s="243"/>
      <c r="O31" s="243"/>
    </row>
    <row r="32" spans="1:15" ht="13.5" x14ac:dyDescent="0.2">
      <c r="H32" s="160"/>
      <c r="I32" s="203">
        <v>8</v>
      </c>
      <c r="J32" s="578">
        <v>9.4000000000000004E-3</v>
      </c>
      <c r="K32" s="203">
        <v>78.400000000000006</v>
      </c>
      <c r="L32" s="208">
        <f>J32-(J32-J33)*(M16-I32)/(I33-I32)</f>
        <v>6.3342340280000053E-3</v>
      </c>
      <c r="M32" s="160"/>
      <c r="N32" s="243"/>
      <c r="O32" s="243"/>
    </row>
    <row r="33" spans="8:15" ht="13.5" x14ac:dyDescent="0.2">
      <c r="H33" s="160"/>
      <c r="I33" s="203">
        <v>9</v>
      </c>
      <c r="J33" s="578">
        <v>9.7999999999999997E-3</v>
      </c>
      <c r="K33" s="203">
        <v>85.5</v>
      </c>
      <c r="L33" s="208">
        <f>J33-(J33-J34)*(M16-I33)/(I34-I33)</f>
        <v>1.2399324478999999E-2</v>
      </c>
      <c r="M33" s="160"/>
      <c r="N33" s="243"/>
      <c r="O33" s="243"/>
    </row>
    <row r="34" spans="8:15" ht="13.5" x14ac:dyDescent="0.2">
      <c r="H34" s="160"/>
      <c r="I34" s="203">
        <v>10</v>
      </c>
      <c r="J34" s="578">
        <v>9.4999999999999998E-3</v>
      </c>
      <c r="K34" s="203">
        <v>95</v>
      </c>
      <c r="L34" s="208" t="e">
        <f>J34-(J34-J35)*(M16-I34)/(I35-I34)</f>
        <v>#DIV/0!</v>
      </c>
      <c r="M34" s="160"/>
      <c r="N34" s="243"/>
      <c r="O34" s="243"/>
    </row>
    <row r="35" spans="8:15" ht="13.5" x14ac:dyDescent="0.2">
      <c r="H35" s="160"/>
      <c r="I35" s="203">
        <v>10</v>
      </c>
      <c r="J35" s="578">
        <v>8.9999999999999993E-3</v>
      </c>
      <c r="K35" s="203">
        <v>90</v>
      </c>
      <c r="L35" s="208" t="e">
        <f>J35-(J35-#REF!)*(M16-I35)/(#REF!-I35)</f>
        <v>#REF!</v>
      </c>
      <c r="M35" s="160"/>
      <c r="N35" s="243"/>
      <c r="O35" s="243"/>
    </row>
    <row r="36" spans="8:15" x14ac:dyDescent="0.2">
      <c r="H36" s="160"/>
      <c r="I36" s="224" t="s">
        <v>186</v>
      </c>
      <c r="J36" s="250"/>
      <c r="K36" s="160"/>
      <c r="L36" s="250"/>
      <c r="M36" s="160"/>
      <c r="N36" s="243"/>
      <c r="O36" s="243"/>
    </row>
    <row r="37" spans="8:15" x14ac:dyDescent="0.2">
      <c r="H37" s="160"/>
      <c r="I37" s="160"/>
      <c r="J37" s="250"/>
      <c r="K37" s="160"/>
      <c r="L37" s="250"/>
      <c r="M37" s="160"/>
      <c r="N37" s="243"/>
      <c r="O37" s="243"/>
    </row>
    <row r="38" spans="8:15" x14ac:dyDescent="0.2">
      <c r="H38" s="160"/>
      <c r="I38" s="160"/>
      <c r="J38" s="250"/>
      <c r="K38" s="160"/>
      <c r="L38" s="250"/>
      <c r="M38" s="160"/>
      <c r="N38" s="243"/>
      <c r="O38" s="243"/>
    </row>
    <row r="39" spans="8:15" x14ac:dyDescent="0.2">
      <c r="N39" s="243"/>
      <c r="O39" s="243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'С С Р'!Область_печати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Клочкова Екатерина Александровна</cp:lastModifiedBy>
  <cp:lastPrinted>2016-11-22T11:18:34Z</cp:lastPrinted>
  <dcterms:created xsi:type="dcterms:W3CDTF">2004-03-03T10:32:04Z</dcterms:created>
  <dcterms:modified xsi:type="dcterms:W3CDTF">2016-12-21T09:35:10Z</dcterms:modified>
</cp:coreProperties>
</file>