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yasoutov_M_I\Desktop\МОИ ЛОТЫ ДЛЯ РЕДАКТИРОВАНИЯ\ЛОТ 48\95. Подмосковная ул., вл.16\"/>
    </mc:Choice>
  </mc:AlternateContent>
  <bookViews>
    <workbookView xWindow="0" yWindow="0" windowWidth="1980" windowHeight="1185"/>
  </bookViews>
  <sheets>
    <sheet name="Смета по ТСН-2001" sheetId="5" r:id="rId1"/>
    <sheet name="Source" sheetId="1" r:id="rId2"/>
    <sheet name="SourceObSm" sheetId="2" r:id="rId3"/>
    <sheet name="SmtRes" sheetId="3" r:id="rId4"/>
    <sheet name="EtalonRes" sheetId="4" r:id="rId5"/>
  </sheets>
  <externalReferences>
    <externalReference r:id="rId6"/>
    <externalReference r:id="rId7"/>
  </externalReferences>
  <definedNames>
    <definedName name="_xlnm.Print_Titles" localSheetId="0">'Смета по ТСН-2001'!$20:$20</definedName>
    <definedName name="_xlnm.Print_Area" localSheetId="0">'Смета по ТСН-2001'!$A$1:$K$418</definedName>
  </definedNames>
  <calcPr calcId="162913"/>
</workbook>
</file>

<file path=xl/calcChain.xml><?xml version="1.0" encoding="utf-8"?>
<calcChain xmlns="http://schemas.openxmlformats.org/spreadsheetml/2006/main">
  <c r="I174" i="1" l="1"/>
  <c r="I171" i="1"/>
  <c r="I125" i="1"/>
  <c r="J404" i="5"/>
  <c r="X396" i="5"/>
  <c r="W396" i="5"/>
  <c r="U396" i="5"/>
  <c r="X395" i="5"/>
  <c r="W395" i="5"/>
  <c r="U395" i="5"/>
  <c r="X394" i="5"/>
  <c r="W394" i="5"/>
  <c r="U394" i="5"/>
  <c r="X393" i="5"/>
  <c r="W393" i="5"/>
  <c r="U393" i="5"/>
  <c r="X392" i="5"/>
  <c r="W392" i="5"/>
  <c r="U392" i="5"/>
  <c r="X391" i="5"/>
  <c r="W391" i="5"/>
  <c r="U391" i="5"/>
  <c r="X390" i="5"/>
  <c r="W390" i="5"/>
  <c r="U390" i="5"/>
  <c r="X389" i="5"/>
  <c r="W389" i="5"/>
  <c r="U389" i="5"/>
  <c r="AF388" i="5"/>
  <c r="X388" i="5"/>
  <c r="W388" i="5"/>
  <c r="U388" i="5"/>
  <c r="X387" i="5"/>
  <c r="W387" i="5"/>
  <c r="U387" i="5"/>
  <c r="X386" i="5"/>
  <c r="W386" i="5"/>
  <c r="U386" i="5"/>
  <c r="A9" i="5"/>
  <c r="Z380" i="5"/>
  <c r="Y380" i="5"/>
  <c r="X380" i="5"/>
  <c r="J379" i="5"/>
  <c r="H379" i="5"/>
  <c r="G379" i="5"/>
  <c r="F379" i="5"/>
  <c r="D377" i="5"/>
  <c r="C377" i="5"/>
  <c r="B377" i="5"/>
  <c r="A377" i="5"/>
  <c r="Z376" i="5"/>
  <c r="Y376" i="5"/>
  <c r="X376" i="5"/>
  <c r="J375" i="5"/>
  <c r="H375" i="5"/>
  <c r="G375" i="5"/>
  <c r="F375" i="5"/>
  <c r="D374" i="5"/>
  <c r="C374" i="5"/>
  <c r="B374" i="5"/>
  <c r="A374" i="5"/>
  <c r="AA373" i="5"/>
  <c r="Z373" i="5"/>
  <c r="Y373" i="5"/>
  <c r="J372" i="5"/>
  <c r="E372" i="5"/>
  <c r="J371" i="5"/>
  <c r="H371" i="5"/>
  <c r="G371" i="5"/>
  <c r="F371" i="5"/>
  <c r="J370" i="5"/>
  <c r="H370" i="5"/>
  <c r="G370" i="5"/>
  <c r="F370" i="5"/>
  <c r="D368" i="5"/>
  <c r="C368" i="5"/>
  <c r="B368" i="5"/>
  <c r="A368" i="5"/>
  <c r="AA367" i="5"/>
  <c r="Z367" i="5"/>
  <c r="Y367" i="5"/>
  <c r="H366" i="5"/>
  <c r="G366" i="5"/>
  <c r="E366" i="5"/>
  <c r="J365" i="5"/>
  <c r="E365" i="5"/>
  <c r="J364" i="5"/>
  <c r="E364" i="5"/>
  <c r="J363" i="5"/>
  <c r="E363" i="5"/>
  <c r="J362" i="5"/>
  <c r="H362" i="5"/>
  <c r="G362" i="5"/>
  <c r="F362" i="5"/>
  <c r="J361" i="5"/>
  <c r="H361" i="5"/>
  <c r="G361" i="5"/>
  <c r="F361" i="5"/>
  <c r="J360" i="5"/>
  <c r="H360" i="5"/>
  <c r="G360" i="5"/>
  <c r="F360" i="5"/>
  <c r="D358" i="5"/>
  <c r="C358" i="5"/>
  <c r="B358" i="5"/>
  <c r="A358" i="5"/>
  <c r="AA357" i="5"/>
  <c r="Z357" i="5"/>
  <c r="Y357" i="5"/>
  <c r="H356" i="5"/>
  <c r="G356" i="5"/>
  <c r="E356" i="5"/>
  <c r="J355" i="5"/>
  <c r="E355" i="5"/>
  <c r="J354" i="5"/>
  <c r="E354" i="5"/>
  <c r="J353" i="5"/>
  <c r="E353" i="5"/>
  <c r="J352" i="5"/>
  <c r="H352" i="5"/>
  <c r="G352" i="5"/>
  <c r="F352" i="5"/>
  <c r="J351" i="5"/>
  <c r="H351" i="5"/>
  <c r="G351" i="5"/>
  <c r="F351" i="5"/>
  <c r="J350" i="5"/>
  <c r="H350" i="5"/>
  <c r="G350" i="5"/>
  <c r="F350" i="5"/>
  <c r="D348" i="5"/>
  <c r="C348" i="5"/>
  <c r="B348" i="5"/>
  <c r="A348" i="5"/>
  <c r="AA347" i="5"/>
  <c r="Z347" i="5"/>
  <c r="Y347" i="5"/>
  <c r="H346" i="5"/>
  <c r="G346" i="5"/>
  <c r="E346" i="5"/>
  <c r="J345" i="5"/>
  <c r="E345" i="5"/>
  <c r="J344" i="5"/>
  <c r="E344" i="5"/>
  <c r="J343" i="5"/>
  <c r="H343" i="5"/>
  <c r="G343" i="5"/>
  <c r="F343" i="5"/>
  <c r="D341" i="5"/>
  <c r="C341" i="5"/>
  <c r="B341" i="5"/>
  <c r="A341" i="5"/>
  <c r="AA340" i="5"/>
  <c r="Z340" i="5"/>
  <c r="Y340" i="5"/>
  <c r="H339" i="5"/>
  <c r="G339" i="5"/>
  <c r="E339" i="5"/>
  <c r="J338" i="5"/>
  <c r="E338" i="5"/>
  <c r="J337" i="5"/>
  <c r="E337" i="5"/>
  <c r="J336" i="5"/>
  <c r="E336" i="5"/>
  <c r="J335" i="5"/>
  <c r="H335" i="5"/>
  <c r="G335" i="5"/>
  <c r="F335" i="5"/>
  <c r="J334" i="5"/>
  <c r="H334" i="5"/>
  <c r="G334" i="5"/>
  <c r="F334" i="5"/>
  <c r="J333" i="5"/>
  <c r="H333" i="5"/>
  <c r="G333" i="5"/>
  <c r="F333" i="5"/>
  <c r="D331" i="5"/>
  <c r="C331" i="5"/>
  <c r="B331" i="5"/>
  <c r="A331" i="5"/>
  <c r="AA330" i="5"/>
  <c r="Z330" i="5"/>
  <c r="Y330" i="5"/>
  <c r="H329" i="5"/>
  <c r="G329" i="5"/>
  <c r="E329" i="5"/>
  <c r="J328" i="5"/>
  <c r="E328" i="5"/>
  <c r="J327" i="5"/>
  <c r="E327" i="5"/>
  <c r="J326" i="5"/>
  <c r="E326" i="5"/>
  <c r="J325" i="5"/>
  <c r="H325" i="5"/>
  <c r="G325" i="5"/>
  <c r="F325" i="5"/>
  <c r="J324" i="5"/>
  <c r="H324" i="5"/>
  <c r="G324" i="5"/>
  <c r="F324" i="5"/>
  <c r="J323" i="5"/>
  <c r="H323" i="5"/>
  <c r="G323" i="5"/>
  <c r="F323" i="5"/>
  <c r="D321" i="5"/>
  <c r="C321" i="5"/>
  <c r="B321" i="5"/>
  <c r="A321" i="5"/>
  <c r="AE320" i="5"/>
  <c r="A320" i="5"/>
  <c r="Z315" i="5"/>
  <c r="Y315" i="5"/>
  <c r="X315" i="5"/>
  <c r="J314" i="5"/>
  <c r="H314" i="5"/>
  <c r="G314" i="5"/>
  <c r="F314" i="5"/>
  <c r="D313" i="5"/>
  <c r="C313" i="5"/>
  <c r="B313" i="5"/>
  <c r="A313" i="5"/>
  <c r="Z312" i="5"/>
  <c r="Y312" i="5"/>
  <c r="X312" i="5"/>
  <c r="J311" i="5"/>
  <c r="H311" i="5"/>
  <c r="G311" i="5"/>
  <c r="F311" i="5"/>
  <c r="E310" i="5"/>
  <c r="D310" i="5"/>
  <c r="C310" i="5"/>
  <c r="B310" i="5"/>
  <c r="A310" i="5"/>
  <c r="Z309" i="5"/>
  <c r="Y309" i="5"/>
  <c r="X309" i="5"/>
  <c r="J308" i="5"/>
  <c r="H308" i="5"/>
  <c r="G308" i="5"/>
  <c r="F308" i="5"/>
  <c r="D306" i="5"/>
  <c r="C306" i="5"/>
  <c r="B306" i="5"/>
  <c r="A306" i="5"/>
  <c r="Z305" i="5"/>
  <c r="Y305" i="5"/>
  <c r="X305" i="5"/>
  <c r="J304" i="5"/>
  <c r="H304" i="5"/>
  <c r="G304" i="5"/>
  <c r="F304" i="5"/>
  <c r="D302" i="5"/>
  <c r="C302" i="5"/>
  <c r="B302" i="5"/>
  <c r="A302" i="5"/>
  <c r="AA301" i="5"/>
  <c r="Z301" i="5"/>
  <c r="Y301" i="5"/>
  <c r="H300" i="5"/>
  <c r="G300" i="5"/>
  <c r="E300" i="5"/>
  <c r="J299" i="5"/>
  <c r="E299" i="5"/>
  <c r="J298" i="5"/>
  <c r="E298" i="5"/>
  <c r="J297" i="5"/>
  <c r="E297" i="5"/>
  <c r="J296" i="5"/>
  <c r="H296" i="5"/>
  <c r="G296" i="5"/>
  <c r="F296" i="5"/>
  <c r="J295" i="5"/>
  <c r="H295" i="5"/>
  <c r="G295" i="5"/>
  <c r="F295" i="5"/>
  <c r="J294" i="5"/>
  <c r="H294" i="5"/>
  <c r="G294" i="5"/>
  <c r="F294" i="5"/>
  <c r="D292" i="5"/>
  <c r="C292" i="5"/>
  <c r="B292" i="5"/>
  <c r="A292" i="5"/>
  <c r="AA291" i="5"/>
  <c r="Z291" i="5"/>
  <c r="Y291" i="5"/>
  <c r="F290" i="5"/>
  <c r="F289" i="5"/>
  <c r="J288" i="5"/>
  <c r="H288" i="5"/>
  <c r="AA288" i="5"/>
  <c r="Z288" i="5"/>
  <c r="Y288" i="5"/>
  <c r="F288" i="5"/>
  <c r="D288" i="5"/>
  <c r="C288" i="5"/>
  <c r="B288" i="5"/>
  <c r="A288" i="5"/>
  <c r="J287" i="5"/>
  <c r="F287" i="5"/>
  <c r="J286" i="5"/>
  <c r="H286" i="5"/>
  <c r="G286" i="5"/>
  <c r="F286" i="5"/>
  <c r="J285" i="5"/>
  <c r="H285" i="5"/>
  <c r="G285" i="5"/>
  <c r="F285" i="5"/>
  <c r="J284" i="5"/>
  <c r="H284" i="5"/>
  <c r="G284" i="5"/>
  <c r="F284" i="5"/>
  <c r="D281" i="5"/>
  <c r="C281" i="5"/>
  <c r="B281" i="5"/>
  <c r="A281" i="5"/>
  <c r="AA280" i="5"/>
  <c r="Z280" i="5"/>
  <c r="Y280" i="5"/>
  <c r="K279" i="5"/>
  <c r="F279" i="5"/>
  <c r="K278" i="5"/>
  <c r="F278" i="5"/>
  <c r="J277" i="5"/>
  <c r="H277" i="5"/>
  <c r="AA277" i="5"/>
  <c r="Y277" i="5"/>
  <c r="X277" i="5"/>
  <c r="F277" i="5"/>
  <c r="D277" i="5"/>
  <c r="B277" i="5"/>
  <c r="A277" i="5"/>
  <c r="K276" i="5"/>
  <c r="J276" i="5"/>
  <c r="I276" i="5"/>
  <c r="F276" i="5"/>
  <c r="J275" i="5"/>
  <c r="H275" i="5"/>
  <c r="G275" i="5"/>
  <c r="F275" i="5"/>
  <c r="J274" i="5"/>
  <c r="H274" i="5"/>
  <c r="G274" i="5"/>
  <c r="F274" i="5"/>
  <c r="J273" i="5"/>
  <c r="H273" i="5"/>
  <c r="G273" i="5"/>
  <c r="F273" i="5"/>
  <c r="E271" i="5"/>
  <c r="D271" i="5"/>
  <c r="C271" i="5"/>
  <c r="B271" i="5"/>
  <c r="A271" i="5"/>
  <c r="AA270" i="5"/>
  <c r="Z270" i="5"/>
  <c r="Y270" i="5"/>
  <c r="K269" i="5"/>
  <c r="F269" i="5"/>
  <c r="K268" i="5"/>
  <c r="F268" i="5"/>
  <c r="J267" i="5"/>
  <c r="H267" i="5"/>
  <c r="AA267" i="5"/>
  <c r="Z267" i="5"/>
  <c r="Y267" i="5"/>
  <c r="F267" i="5"/>
  <c r="D267" i="5"/>
  <c r="C267" i="5"/>
  <c r="B267" i="5"/>
  <c r="A267" i="5"/>
  <c r="J266" i="5"/>
  <c r="H266" i="5"/>
  <c r="AA266" i="5"/>
  <c r="Z266" i="5"/>
  <c r="Y266" i="5"/>
  <c r="F266" i="5"/>
  <c r="D266" i="5"/>
  <c r="C266" i="5"/>
  <c r="B266" i="5"/>
  <c r="A266" i="5"/>
  <c r="K265" i="5"/>
  <c r="J265" i="5"/>
  <c r="I265" i="5"/>
  <c r="F265" i="5"/>
  <c r="J264" i="5"/>
  <c r="H264" i="5"/>
  <c r="G264" i="5"/>
  <c r="F264" i="5"/>
  <c r="J263" i="5"/>
  <c r="H263" i="5"/>
  <c r="G263" i="5"/>
  <c r="F263" i="5"/>
  <c r="J262" i="5"/>
  <c r="H262" i="5"/>
  <c r="G262" i="5"/>
  <c r="F262" i="5"/>
  <c r="E260" i="5"/>
  <c r="D260" i="5"/>
  <c r="B260" i="5"/>
  <c r="A260" i="5"/>
  <c r="AA259" i="5"/>
  <c r="Z259" i="5"/>
  <c r="Y259" i="5"/>
  <c r="K258" i="5"/>
  <c r="F258" i="5"/>
  <c r="K257" i="5"/>
  <c r="F257" i="5"/>
  <c r="K256" i="5"/>
  <c r="J256" i="5"/>
  <c r="I256" i="5"/>
  <c r="F256" i="5"/>
  <c r="J255" i="5"/>
  <c r="H255" i="5"/>
  <c r="G255" i="5"/>
  <c r="F255" i="5"/>
  <c r="J254" i="5"/>
  <c r="H254" i="5"/>
  <c r="G254" i="5"/>
  <c r="F254" i="5"/>
  <c r="J253" i="5"/>
  <c r="H253" i="5"/>
  <c r="G253" i="5"/>
  <c r="F253" i="5"/>
  <c r="E251" i="5"/>
  <c r="D251" i="5"/>
  <c r="C251" i="5"/>
  <c r="B251" i="5"/>
  <c r="A251" i="5"/>
  <c r="AA250" i="5"/>
  <c r="Z250" i="5"/>
  <c r="Y250" i="5"/>
  <c r="K249" i="5"/>
  <c r="F249" i="5"/>
  <c r="K248" i="5"/>
  <c r="F248" i="5"/>
  <c r="K247" i="5"/>
  <c r="J247" i="5"/>
  <c r="I247" i="5"/>
  <c r="F247" i="5"/>
  <c r="J246" i="5"/>
  <c r="H246" i="5"/>
  <c r="G246" i="5"/>
  <c r="F246" i="5"/>
  <c r="J245" i="5"/>
  <c r="H245" i="5"/>
  <c r="G245" i="5"/>
  <c r="F245" i="5"/>
  <c r="J244" i="5"/>
  <c r="H244" i="5"/>
  <c r="G244" i="5"/>
  <c r="F244" i="5"/>
  <c r="E242" i="5"/>
  <c r="D242" i="5"/>
  <c r="B242" i="5"/>
  <c r="A242" i="5"/>
  <c r="AA241" i="5"/>
  <c r="Z241" i="5"/>
  <c r="Y241" i="5"/>
  <c r="K240" i="5"/>
  <c r="F240" i="5"/>
  <c r="K239" i="5"/>
  <c r="F239" i="5"/>
  <c r="J238" i="5"/>
  <c r="H238" i="5"/>
  <c r="AA238" i="5"/>
  <c r="Z238" i="5"/>
  <c r="Y238" i="5"/>
  <c r="F238" i="5"/>
  <c r="D238" i="5"/>
  <c r="C238" i="5"/>
  <c r="B238" i="5"/>
  <c r="A238" i="5"/>
  <c r="J237" i="5"/>
  <c r="H237" i="5"/>
  <c r="AA237" i="5"/>
  <c r="Z237" i="5"/>
  <c r="Y237" i="5"/>
  <c r="F237" i="5"/>
  <c r="D237" i="5"/>
  <c r="C237" i="5"/>
  <c r="B237" i="5"/>
  <c r="A237" i="5"/>
  <c r="K236" i="5"/>
  <c r="J236" i="5"/>
  <c r="I236" i="5"/>
  <c r="F236" i="5"/>
  <c r="J235" i="5"/>
  <c r="H235" i="5"/>
  <c r="G235" i="5"/>
  <c r="F235" i="5"/>
  <c r="J234" i="5"/>
  <c r="H234" i="5"/>
  <c r="G234" i="5"/>
  <c r="F234" i="5"/>
  <c r="J233" i="5"/>
  <c r="H233" i="5"/>
  <c r="G233" i="5"/>
  <c r="F233" i="5"/>
  <c r="E231" i="5"/>
  <c r="D231" i="5"/>
  <c r="B231" i="5"/>
  <c r="A231" i="5"/>
  <c r="AA230" i="5"/>
  <c r="Z230" i="5"/>
  <c r="Y230" i="5"/>
  <c r="K229" i="5"/>
  <c r="F229" i="5"/>
  <c r="K228" i="5"/>
  <c r="F228" i="5"/>
  <c r="K227" i="5"/>
  <c r="J227" i="5"/>
  <c r="I227" i="5"/>
  <c r="F227" i="5"/>
  <c r="J226" i="5"/>
  <c r="H226" i="5"/>
  <c r="G226" i="5"/>
  <c r="F226" i="5"/>
  <c r="J225" i="5"/>
  <c r="H225" i="5"/>
  <c r="G225" i="5"/>
  <c r="F225" i="5"/>
  <c r="J224" i="5"/>
  <c r="H224" i="5"/>
  <c r="G224" i="5"/>
  <c r="F224" i="5"/>
  <c r="E222" i="5"/>
  <c r="D222" i="5"/>
  <c r="C222" i="5"/>
  <c r="B222" i="5"/>
  <c r="A222" i="5"/>
  <c r="AE221" i="5"/>
  <c r="A221" i="5"/>
  <c r="Z216" i="5"/>
  <c r="Y216" i="5"/>
  <c r="X216" i="5"/>
  <c r="J215" i="5"/>
  <c r="H215" i="5"/>
  <c r="G215" i="5"/>
  <c r="F215" i="5"/>
  <c r="D214" i="5"/>
  <c r="C214" i="5"/>
  <c r="B214" i="5"/>
  <c r="A214" i="5"/>
  <c r="Z213" i="5"/>
  <c r="Y213" i="5"/>
  <c r="X213" i="5"/>
  <c r="J212" i="5"/>
  <c r="H212" i="5"/>
  <c r="G212" i="5"/>
  <c r="F212" i="5"/>
  <c r="E211" i="5"/>
  <c r="D211" i="5"/>
  <c r="C211" i="5"/>
  <c r="B211" i="5"/>
  <c r="A211" i="5"/>
  <c r="Z210" i="5"/>
  <c r="Y210" i="5"/>
  <c r="X210" i="5"/>
  <c r="J209" i="5"/>
  <c r="H209" i="5"/>
  <c r="G209" i="5"/>
  <c r="F209" i="5"/>
  <c r="D207" i="5"/>
  <c r="C207" i="5"/>
  <c r="B207" i="5"/>
  <c r="A207" i="5"/>
  <c r="Z206" i="5"/>
  <c r="Y206" i="5"/>
  <c r="X206" i="5"/>
  <c r="J205" i="5"/>
  <c r="H205" i="5"/>
  <c r="G205" i="5"/>
  <c r="F205" i="5"/>
  <c r="D203" i="5"/>
  <c r="C203" i="5"/>
  <c r="B203" i="5"/>
  <c r="A203" i="5"/>
  <c r="AA202" i="5"/>
  <c r="Z202" i="5"/>
  <c r="Y202" i="5"/>
  <c r="H201" i="5"/>
  <c r="G201" i="5"/>
  <c r="E201" i="5"/>
  <c r="J200" i="5"/>
  <c r="E200" i="5"/>
  <c r="J199" i="5"/>
  <c r="E199" i="5"/>
  <c r="J198" i="5"/>
  <c r="E198" i="5"/>
  <c r="J197" i="5"/>
  <c r="H197" i="5"/>
  <c r="G197" i="5"/>
  <c r="F197" i="5"/>
  <c r="J196" i="5"/>
  <c r="H196" i="5"/>
  <c r="G196" i="5"/>
  <c r="F196" i="5"/>
  <c r="J195" i="5"/>
  <c r="H195" i="5"/>
  <c r="G195" i="5"/>
  <c r="F195" i="5"/>
  <c r="D193" i="5"/>
  <c r="C193" i="5"/>
  <c r="B193" i="5"/>
  <c r="A193" i="5"/>
  <c r="AA192" i="5"/>
  <c r="Z192" i="5"/>
  <c r="Y192" i="5"/>
  <c r="F191" i="5"/>
  <c r="F190" i="5"/>
  <c r="J189" i="5"/>
  <c r="H189" i="5"/>
  <c r="AA189" i="5"/>
  <c r="Z189" i="5"/>
  <c r="Y189" i="5"/>
  <c r="F189" i="5"/>
  <c r="D189" i="5"/>
  <c r="C189" i="5"/>
  <c r="B189" i="5"/>
  <c r="A189" i="5"/>
  <c r="J188" i="5"/>
  <c r="F188" i="5"/>
  <c r="J187" i="5"/>
  <c r="H187" i="5"/>
  <c r="G187" i="5"/>
  <c r="F187" i="5"/>
  <c r="J186" i="5"/>
  <c r="H186" i="5"/>
  <c r="G186" i="5"/>
  <c r="F186" i="5"/>
  <c r="J185" i="5"/>
  <c r="H185" i="5"/>
  <c r="G185" i="5"/>
  <c r="F185" i="5"/>
  <c r="D182" i="5"/>
  <c r="C182" i="5"/>
  <c r="B182" i="5"/>
  <c r="A182" i="5"/>
  <c r="AA181" i="5"/>
  <c r="Z181" i="5"/>
  <c r="Y181" i="5"/>
  <c r="K180" i="5"/>
  <c r="F180" i="5"/>
  <c r="K179" i="5"/>
  <c r="F179" i="5"/>
  <c r="K178" i="5"/>
  <c r="J178" i="5"/>
  <c r="I178" i="5"/>
  <c r="F178" i="5"/>
  <c r="J177" i="5"/>
  <c r="H177" i="5"/>
  <c r="G177" i="5"/>
  <c r="F177" i="5"/>
  <c r="J176" i="5"/>
  <c r="H176" i="5"/>
  <c r="G176" i="5"/>
  <c r="F176" i="5"/>
  <c r="J175" i="5"/>
  <c r="H175" i="5"/>
  <c r="G175" i="5"/>
  <c r="F175" i="5"/>
  <c r="E173" i="5"/>
  <c r="D173" i="5"/>
  <c r="B173" i="5"/>
  <c r="A173" i="5"/>
  <c r="AA172" i="5"/>
  <c r="Z172" i="5"/>
  <c r="Y172" i="5"/>
  <c r="K171" i="5"/>
  <c r="F171" i="5"/>
  <c r="K170" i="5"/>
  <c r="F170" i="5"/>
  <c r="J169" i="5"/>
  <c r="H169" i="5"/>
  <c r="AA169" i="5"/>
  <c r="Z169" i="5"/>
  <c r="Y169" i="5"/>
  <c r="F169" i="5"/>
  <c r="D169" i="5"/>
  <c r="C169" i="5"/>
  <c r="B169" i="5"/>
  <c r="A169" i="5"/>
  <c r="J168" i="5"/>
  <c r="H168" i="5"/>
  <c r="AA168" i="5"/>
  <c r="Z168" i="5"/>
  <c r="Y168" i="5"/>
  <c r="F168" i="5"/>
  <c r="D168" i="5"/>
  <c r="C168" i="5"/>
  <c r="B168" i="5"/>
  <c r="A168" i="5"/>
  <c r="K167" i="5"/>
  <c r="J167" i="5"/>
  <c r="I167" i="5"/>
  <c r="F167" i="5"/>
  <c r="J166" i="5"/>
  <c r="H166" i="5"/>
  <c r="G166" i="5"/>
  <c r="F166" i="5"/>
  <c r="J165" i="5"/>
  <c r="H165" i="5"/>
  <c r="G165" i="5"/>
  <c r="F165" i="5"/>
  <c r="J164" i="5"/>
  <c r="H164" i="5"/>
  <c r="G164" i="5"/>
  <c r="F164" i="5"/>
  <c r="E162" i="5"/>
  <c r="D162" i="5"/>
  <c r="B162" i="5"/>
  <c r="A162" i="5"/>
  <c r="AA161" i="5"/>
  <c r="Z161" i="5"/>
  <c r="Y161" i="5"/>
  <c r="J160" i="5"/>
  <c r="E160" i="5"/>
  <c r="J159" i="5"/>
  <c r="H159" i="5"/>
  <c r="G159" i="5"/>
  <c r="F159" i="5"/>
  <c r="J158" i="5"/>
  <c r="H158" i="5"/>
  <c r="G158" i="5"/>
  <c r="F158" i="5"/>
  <c r="E157" i="5"/>
  <c r="D157" i="5"/>
  <c r="C157" i="5"/>
  <c r="B157" i="5"/>
  <c r="A157" i="5"/>
  <c r="AA156" i="5"/>
  <c r="Z156" i="5"/>
  <c r="Y156" i="5"/>
  <c r="H155" i="5"/>
  <c r="G155" i="5"/>
  <c r="E155" i="5"/>
  <c r="J154" i="5"/>
  <c r="E154" i="5"/>
  <c r="J153" i="5"/>
  <c r="E153" i="5"/>
  <c r="J152" i="5"/>
  <c r="E152" i="5"/>
  <c r="J151" i="5"/>
  <c r="H151" i="5"/>
  <c r="G151" i="5"/>
  <c r="F151" i="5"/>
  <c r="J150" i="5"/>
  <c r="H150" i="5"/>
  <c r="G150" i="5"/>
  <c r="F150" i="5"/>
  <c r="J149" i="5"/>
  <c r="H149" i="5"/>
  <c r="G149" i="5"/>
  <c r="F149" i="5"/>
  <c r="D147" i="5"/>
  <c r="C147" i="5"/>
  <c r="B147" i="5"/>
  <c r="A147" i="5"/>
  <c r="AE146" i="5"/>
  <c r="A146" i="5"/>
  <c r="Z141" i="5"/>
  <c r="Y141" i="5"/>
  <c r="X141" i="5"/>
  <c r="J140" i="5"/>
  <c r="H140" i="5"/>
  <c r="G140" i="5"/>
  <c r="F140" i="5"/>
  <c r="D139" i="5"/>
  <c r="C139" i="5"/>
  <c r="B139" i="5"/>
  <c r="A139" i="5"/>
  <c r="Z138" i="5"/>
  <c r="Y138" i="5"/>
  <c r="X138" i="5"/>
  <c r="J137" i="5"/>
  <c r="H137" i="5"/>
  <c r="G137" i="5"/>
  <c r="F137" i="5"/>
  <c r="E136" i="5"/>
  <c r="D136" i="5"/>
  <c r="C136" i="5"/>
  <c r="B136" i="5"/>
  <c r="A136" i="5"/>
  <c r="Z135" i="5"/>
  <c r="Y135" i="5"/>
  <c r="X135" i="5"/>
  <c r="J134" i="5"/>
  <c r="H134" i="5"/>
  <c r="G134" i="5"/>
  <c r="F134" i="5"/>
  <c r="D132" i="5"/>
  <c r="C132" i="5"/>
  <c r="B132" i="5"/>
  <c r="A132" i="5"/>
  <c r="Z131" i="5"/>
  <c r="Y131" i="5"/>
  <c r="X131" i="5"/>
  <c r="J130" i="5"/>
  <c r="H130" i="5"/>
  <c r="G130" i="5"/>
  <c r="F130" i="5"/>
  <c r="D128" i="5"/>
  <c r="C128" i="5"/>
  <c r="B128" i="5"/>
  <c r="A128" i="5"/>
  <c r="AA127" i="5"/>
  <c r="Z127" i="5"/>
  <c r="Y127" i="5"/>
  <c r="H126" i="5"/>
  <c r="G126" i="5"/>
  <c r="E126" i="5"/>
  <c r="J125" i="5"/>
  <c r="E125" i="5"/>
  <c r="J124" i="5"/>
  <c r="E124" i="5"/>
  <c r="J123" i="5"/>
  <c r="E123" i="5"/>
  <c r="J122" i="5"/>
  <c r="H122" i="5"/>
  <c r="G122" i="5"/>
  <c r="F122" i="5"/>
  <c r="J121" i="5"/>
  <c r="H121" i="5"/>
  <c r="G121" i="5"/>
  <c r="F121" i="5"/>
  <c r="J120" i="5"/>
  <c r="H120" i="5"/>
  <c r="G120" i="5"/>
  <c r="F120" i="5"/>
  <c r="D118" i="5"/>
  <c r="C118" i="5"/>
  <c r="B118" i="5"/>
  <c r="A118" i="5"/>
  <c r="AA117" i="5"/>
  <c r="Z117" i="5"/>
  <c r="Y117" i="5"/>
  <c r="F116" i="5"/>
  <c r="F115" i="5"/>
  <c r="J114" i="5"/>
  <c r="H114" i="5"/>
  <c r="AA114" i="5"/>
  <c r="Z114" i="5"/>
  <c r="Y114" i="5"/>
  <c r="F114" i="5"/>
  <c r="D114" i="5"/>
  <c r="C114" i="5"/>
  <c r="B114" i="5"/>
  <c r="A114" i="5"/>
  <c r="J113" i="5"/>
  <c r="F113" i="5"/>
  <c r="J112" i="5"/>
  <c r="H112" i="5"/>
  <c r="G112" i="5"/>
  <c r="F112" i="5"/>
  <c r="J111" i="5"/>
  <c r="H111" i="5"/>
  <c r="G111" i="5"/>
  <c r="F111" i="5"/>
  <c r="J110" i="5"/>
  <c r="H110" i="5"/>
  <c r="G110" i="5"/>
  <c r="F110" i="5"/>
  <c r="D107" i="5"/>
  <c r="C107" i="5"/>
  <c r="B107" i="5"/>
  <c r="A107" i="5"/>
  <c r="AA106" i="5"/>
  <c r="Z106" i="5"/>
  <c r="Y106" i="5"/>
  <c r="H105" i="5"/>
  <c r="G105" i="5"/>
  <c r="E105" i="5"/>
  <c r="J104" i="5"/>
  <c r="E104" i="5"/>
  <c r="J103" i="5"/>
  <c r="E103" i="5"/>
  <c r="J102" i="5"/>
  <c r="E102" i="5"/>
  <c r="J101" i="5"/>
  <c r="H101" i="5"/>
  <c r="G101" i="5"/>
  <c r="F101" i="5"/>
  <c r="J100" i="5"/>
  <c r="H100" i="5"/>
  <c r="G100" i="5"/>
  <c r="F100" i="5"/>
  <c r="J99" i="5"/>
  <c r="H99" i="5"/>
  <c r="G99" i="5"/>
  <c r="F99" i="5"/>
  <c r="J98" i="5"/>
  <c r="H98" i="5"/>
  <c r="G98" i="5"/>
  <c r="F98" i="5"/>
  <c r="E97" i="5"/>
  <c r="D97" i="5"/>
  <c r="C97" i="5"/>
  <c r="B97" i="5"/>
  <c r="A97" i="5"/>
  <c r="AA96" i="5"/>
  <c r="Z96" i="5"/>
  <c r="Y96" i="5"/>
  <c r="K95" i="5"/>
  <c r="F95" i="5"/>
  <c r="K94" i="5"/>
  <c r="F94" i="5"/>
  <c r="J93" i="5"/>
  <c r="H93" i="5"/>
  <c r="AA93" i="5"/>
  <c r="Z93" i="5"/>
  <c r="Y93" i="5"/>
  <c r="F93" i="5"/>
  <c r="D93" i="5"/>
  <c r="C93" i="5"/>
  <c r="B93" i="5"/>
  <c r="A93" i="5"/>
  <c r="J92" i="5"/>
  <c r="H92" i="5"/>
  <c r="AA92" i="5"/>
  <c r="Z92" i="5"/>
  <c r="Y92" i="5"/>
  <c r="F92" i="5"/>
  <c r="D92" i="5"/>
  <c r="C92" i="5"/>
  <c r="B92" i="5"/>
  <c r="A92" i="5"/>
  <c r="K91" i="5"/>
  <c r="J91" i="5"/>
  <c r="I91" i="5"/>
  <c r="F91" i="5"/>
  <c r="J90" i="5"/>
  <c r="H90" i="5"/>
  <c r="G90" i="5"/>
  <c r="F90" i="5"/>
  <c r="J89" i="5"/>
  <c r="H89" i="5"/>
  <c r="G89" i="5"/>
  <c r="F89" i="5"/>
  <c r="J88" i="5"/>
  <c r="H88" i="5"/>
  <c r="G88" i="5"/>
  <c r="F88" i="5"/>
  <c r="E86" i="5"/>
  <c r="D86" i="5"/>
  <c r="B86" i="5"/>
  <c r="A86" i="5"/>
  <c r="AE85" i="5"/>
  <c r="A85" i="5"/>
  <c r="Z80" i="5"/>
  <c r="Y80" i="5"/>
  <c r="X80" i="5"/>
  <c r="J79" i="5"/>
  <c r="H79" i="5"/>
  <c r="G79" i="5"/>
  <c r="F79" i="5"/>
  <c r="D78" i="5"/>
  <c r="C78" i="5"/>
  <c r="B78" i="5"/>
  <c r="A78" i="5"/>
  <c r="Z77" i="5"/>
  <c r="Y77" i="5"/>
  <c r="X77" i="5"/>
  <c r="J76" i="5"/>
  <c r="H76" i="5"/>
  <c r="G76" i="5"/>
  <c r="F76" i="5"/>
  <c r="E75" i="5"/>
  <c r="D75" i="5"/>
  <c r="C75" i="5"/>
  <c r="B75" i="5"/>
  <c r="A75" i="5"/>
  <c r="Z74" i="5"/>
  <c r="Y74" i="5"/>
  <c r="X74" i="5"/>
  <c r="J73" i="5"/>
  <c r="H73" i="5"/>
  <c r="G73" i="5"/>
  <c r="F73" i="5"/>
  <c r="D71" i="5"/>
  <c r="C71" i="5"/>
  <c r="B71" i="5"/>
  <c r="A71" i="5"/>
  <c r="Z70" i="5"/>
  <c r="Y70" i="5"/>
  <c r="X70" i="5"/>
  <c r="J69" i="5"/>
  <c r="H69" i="5"/>
  <c r="G69" i="5"/>
  <c r="F69" i="5"/>
  <c r="D67" i="5"/>
  <c r="C67" i="5"/>
  <c r="B67" i="5"/>
  <c r="A67" i="5"/>
  <c r="AA66" i="5"/>
  <c r="Z66" i="5"/>
  <c r="Y66" i="5"/>
  <c r="H65" i="5"/>
  <c r="G65" i="5"/>
  <c r="E65" i="5"/>
  <c r="J64" i="5"/>
  <c r="E64" i="5"/>
  <c r="J63" i="5"/>
  <c r="E63" i="5"/>
  <c r="J62" i="5"/>
  <c r="E62" i="5"/>
  <c r="J61" i="5"/>
  <c r="H61" i="5"/>
  <c r="G61" i="5"/>
  <c r="F61" i="5"/>
  <c r="J60" i="5"/>
  <c r="H60" i="5"/>
  <c r="G60" i="5"/>
  <c r="F60" i="5"/>
  <c r="J59" i="5"/>
  <c r="H59" i="5"/>
  <c r="G59" i="5"/>
  <c r="F59" i="5"/>
  <c r="D57" i="5"/>
  <c r="C57" i="5"/>
  <c r="B57" i="5"/>
  <c r="A57" i="5"/>
  <c r="AA56" i="5"/>
  <c r="Z56" i="5"/>
  <c r="Y56" i="5"/>
  <c r="H55" i="5"/>
  <c r="G55" i="5"/>
  <c r="E55" i="5"/>
  <c r="J54" i="5"/>
  <c r="E54" i="5"/>
  <c r="J53" i="5"/>
  <c r="E53" i="5"/>
  <c r="J52" i="5"/>
  <c r="E52" i="5"/>
  <c r="J51" i="5"/>
  <c r="H51" i="5"/>
  <c r="AA51" i="5"/>
  <c r="Z51" i="5"/>
  <c r="Y51" i="5"/>
  <c r="F51" i="5"/>
  <c r="D51" i="5"/>
  <c r="C51" i="5"/>
  <c r="B51" i="5"/>
  <c r="A51" i="5"/>
  <c r="J50" i="5"/>
  <c r="H50" i="5"/>
  <c r="G50" i="5"/>
  <c r="F50" i="5"/>
  <c r="J49" i="5"/>
  <c r="H49" i="5"/>
  <c r="G49" i="5"/>
  <c r="F49" i="5"/>
  <c r="J48" i="5"/>
  <c r="H48" i="5"/>
  <c r="G48" i="5"/>
  <c r="F48" i="5"/>
  <c r="J47" i="5"/>
  <c r="H47" i="5"/>
  <c r="G47" i="5"/>
  <c r="F47" i="5"/>
  <c r="E46" i="5"/>
  <c r="D46" i="5"/>
  <c r="C46" i="5"/>
  <c r="B46" i="5"/>
  <c r="A46" i="5"/>
  <c r="AA45" i="5"/>
  <c r="Z45" i="5"/>
  <c r="Y45" i="5"/>
  <c r="H44" i="5"/>
  <c r="G44" i="5"/>
  <c r="E44" i="5"/>
  <c r="J43" i="5"/>
  <c r="E43" i="5"/>
  <c r="J42" i="5"/>
  <c r="E42" i="5"/>
  <c r="J41" i="5"/>
  <c r="E41" i="5"/>
  <c r="J40" i="5"/>
  <c r="H40" i="5"/>
  <c r="G40" i="5"/>
  <c r="F40" i="5"/>
  <c r="J39" i="5"/>
  <c r="H39" i="5"/>
  <c r="G39" i="5"/>
  <c r="F39" i="5"/>
  <c r="J38" i="5"/>
  <c r="H38" i="5"/>
  <c r="G38" i="5"/>
  <c r="F38" i="5"/>
  <c r="J37" i="5"/>
  <c r="H37" i="5"/>
  <c r="G37" i="5"/>
  <c r="F37" i="5"/>
  <c r="E36" i="5"/>
  <c r="D36" i="5"/>
  <c r="C36" i="5"/>
  <c r="B36" i="5"/>
  <c r="A36" i="5"/>
  <c r="AA35" i="5"/>
  <c r="Z35" i="5"/>
  <c r="Y35" i="5"/>
  <c r="K34" i="5"/>
  <c r="F34" i="5"/>
  <c r="K33" i="5"/>
  <c r="F33" i="5"/>
  <c r="J32" i="5"/>
  <c r="H32" i="5"/>
  <c r="AA32" i="5"/>
  <c r="Z32" i="5"/>
  <c r="Y32" i="5"/>
  <c r="F32" i="5"/>
  <c r="D32" i="5"/>
  <c r="C32" i="5"/>
  <c r="B32" i="5"/>
  <c r="A32" i="5"/>
  <c r="J31" i="5"/>
  <c r="H31" i="5"/>
  <c r="AA31" i="5"/>
  <c r="Z31" i="5"/>
  <c r="Y31" i="5"/>
  <c r="F31" i="5"/>
  <c r="D31" i="5"/>
  <c r="C31" i="5"/>
  <c r="B31" i="5"/>
  <c r="A31" i="5"/>
  <c r="J30" i="5"/>
  <c r="H30" i="5"/>
  <c r="AA30" i="5"/>
  <c r="Z30" i="5"/>
  <c r="Y30" i="5"/>
  <c r="F30" i="5"/>
  <c r="D30" i="5"/>
  <c r="C30" i="5"/>
  <c r="B30" i="5"/>
  <c r="A30" i="5"/>
  <c r="J29" i="5"/>
  <c r="H29" i="5"/>
  <c r="AA29" i="5"/>
  <c r="Z29" i="5"/>
  <c r="Y29" i="5"/>
  <c r="F29" i="5"/>
  <c r="D29" i="5"/>
  <c r="C29" i="5"/>
  <c r="B29" i="5"/>
  <c r="A29" i="5"/>
  <c r="K28" i="5"/>
  <c r="J28" i="5"/>
  <c r="I28" i="5"/>
  <c r="F28" i="5"/>
  <c r="J27" i="5"/>
  <c r="H27" i="5"/>
  <c r="G27" i="5"/>
  <c r="F27" i="5"/>
  <c r="J26" i="5"/>
  <c r="H26" i="5"/>
  <c r="G26" i="5"/>
  <c r="F26" i="5"/>
  <c r="J25" i="5"/>
  <c r="H25" i="5"/>
  <c r="G25" i="5"/>
  <c r="F25" i="5"/>
  <c r="E23" i="5"/>
  <c r="D23" i="5"/>
  <c r="B23" i="5"/>
  <c r="A23" i="5"/>
  <c r="AE22" i="5"/>
  <c r="A22" i="5"/>
  <c r="AE9" i="5"/>
  <c r="AE6" i="5"/>
  <c r="A1" i="5"/>
  <c r="A1" i="4"/>
  <c r="A2" i="4"/>
  <c r="A3" i="4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" i="3"/>
  <c r="CX1" i="3"/>
  <c r="CY1" i="3"/>
  <c r="CZ1" i="3"/>
  <c r="DA1" i="3"/>
  <c r="A2" i="3"/>
  <c r="CX2" i="3"/>
  <c r="CY2" i="3"/>
  <c r="CZ2" i="3"/>
  <c r="DA2" i="3"/>
  <c r="A3" i="3"/>
  <c r="CX3" i="3"/>
  <c r="CY3" i="3"/>
  <c r="CZ3" i="3"/>
  <c r="DA3" i="3"/>
  <c r="A4" i="3"/>
  <c r="CX4" i="3"/>
  <c r="CY4" i="3"/>
  <c r="CZ4" i="3"/>
  <c r="DA4" i="3"/>
  <c r="A5" i="3"/>
  <c r="CX5" i="3"/>
  <c r="CY5" i="3"/>
  <c r="CZ5" i="3"/>
  <c r="DA5" i="3"/>
  <c r="A6" i="3"/>
  <c r="CX6" i="3"/>
  <c r="CY6" i="3"/>
  <c r="CZ6" i="3"/>
  <c r="DA6" i="3"/>
  <c r="A7" i="3"/>
  <c r="CX7" i="3"/>
  <c r="CY7" i="3"/>
  <c r="CZ7" i="3"/>
  <c r="DA7" i="3"/>
  <c r="A8" i="3"/>
  <c r="CX8" i="3"/>
  <c r="CY8" i="3"/>
  <c r="CZ8" i="3"/>
  <c r="DA8" i="3"/>
  <c r="A9" i="3"/>
  <c r="CX9" i="3"/>
  <c r="CY9" i="3"/>
  <c r="CZ9" i="3"/>
  <c r="DA9" i="3"/>
  <c r="A10" i="3"/>
  <c r="CX10" i="3"/>
  <c r="CY10" i="3"/>
  <c r="CZ10" i="3"/>
  <c r="DA10" i="3"/>
  <c r="A11" i="3"/>
  <c r="CX11" i="3"/>
  <c r="CY11" i="3"/>
  <c r="CZ11" i="3"/>
  <c r="DA11" i="3"/>
  <c r="A12" i="3"/>
  <c r="CX12" i="3"/>
  <c r="CY12" i="3"/>
  <c r="CZ12" i="3"/>
  <c r="DA12" i="3"/>
  <c r="A13" i="3"/>
  <c r="CX13" i="3"/>
  <c r="CY13" i="3"/>
  <c r="CZ13" i="3"/>
  <c r="DA13" i="3"/>
  <c r="A14" i="3"/>
  <c r="CX14" i="3"/>
  <c r="CY14" i="3"/>
  <c r="CZ14" i="3"/>
  <c r="DA14" i="3"/>
  <c r="A15" i="3"/>
  <c r="CX15" i="3"/>
  <c r="CY15" i="3"/>
  <c r="CZ15" i="3"/>
  <c r="DA15" i="3"/>
  <c r="A16" i="3"/>
  <c r="CX16" i="3"/>
  <c r="CY16" i="3"/>
  <c r="CZ16" i="3"/>
  <c r="DA16" i="3"/>
  <c r="A17" i="3"/>
  <c r="CX17" i="3"/>
  <c r="CY17" i="3"/>
  <c r="CZ17" i="3"/>
  <c r="DA17" i="3"/>
  <c r="A18" i="3"/>
  <c r="CY18" i="3"/>
  <c r="CZ18" i="3"/>
  <c r="DA18" i="3"/>
  <c r="A19" i="3"/>
  <c r="CY19" i="3"/>
  <c r="CZ19" i="3"/>
  <c r="DA19" i="3"/>
  <c r="A20" i="3"/>
  <c r="CY20" i="3"/>
  <c r="CZ20" i="3"/>
  <c r="DA20" i="3"/>
  <c r="A21" i="3"/>
  <c r="CX21" i="3"/>
  <c r="CY21" i="3"/>
  <c r="CZ21" i="3"/>
  <c r="DA21" i="3"/>
  <c r="A22" i="3"/>
  <c r="CX22" i="3"/>
  <c r="CY22" i="3"/>
  <c r="CZ22" i="3"/>
  <c r="DA22" i="3"/>
  <c r="A23" i="3"/>
  <c r="CX23" i="3"/>
  <c r="CY23" i="3"/>
  <c r="CZ23" i="3"/>
  <c r="DA23" i="3"/>
  <c r="A24" i="3"/>
  <c r="CX24" i="3"/>
  <c r="CY24" i="3"/>
  <c r="CZ24" i="3"/>
  <c r="DA24" i="3"/>
  <c r="A25" i="3"/>
  <c r="CX25" i="3"/>
  <c r="CY25" i="3"/>
  <c r="CZ25" i="3"/>
  <c r="DA25" i="3"/>
  <c r="A26" i="3"/>
  <c r="CY26" i="3"/>
  <c r="CZ26" i="3"/>
  <c r="DA26" i="3"/>
  <c r="A27" i="3"/>
  <c r="CY27" i="3"/>
  <c r="CZ27" i="3"/>
  <c r="DA27" i="3"/>
  <c r="A28" i="3"/>
  <c r="CY28" i="3"/>
  <c r="CZ28" i="3"/>
  <c r="DA28" i="3"/>
  <c r="A29" i="3"/>
  <c r="CY29" i="3"/>
  <c r="CZ29" i="3"/>
  <c r="DA29" i="3"/>
  <c r="A30" i="3"/>
  <c r="CY30" i="3"/>
  <c r="CZ30" i="3"/>
  <c r="DA30" i="3"/>
  <c r="A31" i="3"/>
  <c r="CY31" i="3"/>
  <c r="CZ31" i="3"/>
  <c r="DA31" i="3"/>
  <c r="A32" i="3"/>
  <c r="CY32" i="3"/>
  <c r="CZ32" i="3"/>
  <c r="DA32" i="3"/>
  <c r="A33" i="3"/>
  <c r="CY33" i="3"/>
  <c r="CZ33" i="3"/>
  <c r="DA33" i="3"/>
  <c r="A34" i="3"/>
  <c r="CY34" i="3"/>
  <c r="CZ34" i="3"/>
  <c r="DA34" i="3"/>
  <c r="A35" i="3"/>
  <c r="CY35" i="3"/>
  <c r="CZ35" i="3"/>
  <c r="DA35" i="3"/>
  <c r="A36" i="3"/>
  <c r="CY36" i="3"/>
  <c r="CZ36" i="3"/>
  <c r="DA36" i="3"/>
  <c r="A37" i="3"/>
  <c r="CY37" i="3"/>
  <c r="CZ37" i="3"/>
  <c r="DA37" i="3"/>
  <c r="A38" i="3"/>
  <c r="CY38" i="3"/>
  <c r="CZ38" i="3"/>
  <c r="DA38" i="3"/>
  <c r="A39" i="3"/>
  <c r="CY39" i="3"/>
  <c r="CZ39" i="3"/>
  <c r="DA39" i="3"/>
  <c r="A40" i="3"/>
  <c r="CY40" i="3"/>
  <c r="CZ40" i="3"/>
  <c r="DA40" i="3"/>
  <c r="A41" i="3"/>
  <c r="CY41" i="3"/>
  <c r="CZ41" i="3"/>
  <c r="DA41" i="3"/>
  <c r="A42" i="3"/>
  <c r="CY42" i="3"/>
  <c r="CZ42" i="3"/>
  <c r="DA42" i="3"/>
  <c r="A43" i="3"/>
  <c r="CY43" i="3"/>
  <c r="CZ43" i="3"/>
  <c r="DA43" i="3"/>
  <c r="A44" i="3"/>
  <c r="CY44" i="3"/>
  <c r="CZ44" i="3"/>
  <c r="DA44" i="3"/>
  <c r="A45" i="3"/>
  <c r="CX45" i="3"/>
  <c r="CY45" i="3"/>
  <c r="CZ45" i="3"/>
  <c r="DA45" i="3"/>
  <c r="A46" i="3"/>
  <c r="CX46" i="3"/>
  <c r="CY46" i="3"/>
  <c r="CZ46" i="3"/>
  <c r="DA46" i="3"/>
  <c r="A47" i="3"/>
  <c r="CX47" i="3"/>
  <c r="CY47" i="3"/>
  <c r="CZ47" i="3"/>
  <c r="DA47" i="3"/>
  <c r="A48" i="3"/>
  <c r="CY48" i="3"/>
  <c r="CZ48" i="3"/>
  <c r="DA48" i="3"/>
  <c r="A49" i="3"/>
  <c r="CY49" i="3"/>
  <c r="CZ49" i="3"/>
  <c r="DA49" i="3"/>
  <c r="A50" i="3"/>
  <c r="CY50" i="3"/>
  <c r="CZ50" i="3"/>
  <c r="DA50" i="3"/>
  <c r="A51" i="3"/>
  <c r="CY51" i="3"/>
  <c r="CZ51" i="3"/>
  <c r="DA51" i="3"/>
  <c r="A52" i="3"/>
  <c r="CX52" i="3"/>
  <c r="CY52" i="3"/>
  <c r="CZ52" i="3"/>
  <c r="DA52" i="3"/>
  <c r="A53" i="3"/>
  <c r="CX53" i="3"/>
  <c r="CY53" i="3"/>
  <c r="CZ53" i="3"/>
  <c r="DA53" i="3"/>
  <c r="A54" i="3"/>
  <c r="CX54" i="3"/>
  <c r="CY54" i="3"/>
  <c r="CZ54" i="3"/>
  <c r="DA54" i="3"/>
  <c r="A55" i="3"/>
  <c r="CX55" i="3"/>
  <c r="CY55" i="3"/>
  <c r="CZ55" i="3"/>
  <c r="DA55" i="3"/>
  <c r="A56" i="3"/>
  <c r="CX56" i="3"/>
  <c r="CY56" i="3"/>
  <c r="CZ56" i="3"/>
  <c r="DA56" i="3"/>
  <c r="A57" i="3"/>
  <c r="CY57" i="3"/>
  <c r="CZ57" i="3"/>
  <c r="DA57" i="3"/>
  <c r="A58" i="3"/>
  <c r="CY58" i="3"/>
  <c r="CZ58" i="3"/>
  <c r="DA58" i="3"/>
  <c r="A59" i="3"/>
  <c r="CY59" i="3"/>
  <c r="CZ59" i="3"/>
  <c r="DA59" i="3"/>
  <c r="A60" i="3"/>
  <c r="CY60" i="3"/>
  <c r="CZ60" i="3"/>
  <c r="DA60" i="3"/>
  <c r="A61" i="3"/>
  <c r="CY61" i="3"/>
  <c r="CZ61" i="3"/>
  <c r="DA61" i="3"/>
  <c r="A62" i="3"/>
  <c r="CY62" i="3"/>
  <c r="CZ62" i="3"/>
  <c r="DA62" i="3"/>
  <c r="A63" i="3"/>
  <c r="CY63" i="3"/>
  <c r="CZ63" i="3"/>
  <c r="DA63" i="3"/>
  <c r="A64" i="3"/>
  <c r="CY64" i="3"/>
  <c r="CZ64" i="3"/>
  <c r="DA64" i="3"/>
  <c r="A65" i="3"/>
  <c r="CY65" i="3"/>
  <c r="CZ65" i="3"/>
  <c r="DA65" i="3"/>
  <c r="A66" i="3"/>
  <c r="CY66" i="3"/>
  <c r="CZ66" i="3"/>
  <c r="DA66" i="3"/>
  <c r="A67" i="3"/>
  <c r="CY67" i="3"/>
  <c r="CZ67" i="3"/>
  <c r="DA67" i="3"/>
  <c r="A68" i="3"/>
  <c r="CY68" i="3"/>
  <c r="CZ68" i="3"/>
  <c r="DA68" i="3"/>
  <c r="A69" i="3"/>
  <c r="CY69" i="3"/>
  <c r="CZ69" i="3"/>
  <c r="DA69" i="3"/>
  <c r="A70" i="3"/>
  <c r="CY70" i="3"/>
  <c r="CZ70" i="3"/>
  <c r="DA70" i="3"/>
  <c r="A71" i="3"/>
  <c r="CY71" i="3"/>
  <c r="CZ71" i="3"/>
  <c r="DA71" i="3"/>
  <c r="A72" i="3"/>
  <c r="CY72" i="3"/>
  <c r="CZ72" i="3"/>
  <c r="DA72" i="3"/>
  <c r="A73" i="3"/>
  <c r="CY73" i="3"/>
  <c r="CZ73" i="3"/>
  <c r="DA73" i="3"/>
  <c r="A74" i="3"/>
  <c r="CY74" i="3"/>
  <c r="CZ74" i="3"/>
  <c r="DA74" i="3"/>
  <c r="A75" i="3"/>
  <c r="CY75" i="3"/>
  <c r="CZ75" i="3"/>
  <c r="DA75" i="3"/>
  <c r="A76" i="3"/>
  <c r="CY76" i="3"/>
  <c r="CZ76" i="3"/>
  <c r="DA76" i="3"/>
  <c r="A77" i="3"/>
  <c r="CY77" i="3"/>
  <c r="CZ77" i="3"/>
  <c r="DA77" i="3"/>
  <c r="A78" i="3"/>
  <c r="CY78" i="3"/>
  <c r="CZ78" i="3"/>
  <c r="DA78" i="3"/>
  <c r="A79" i="3"/>
  <c r="CY79" i="3"/>
  <c r="CZ79" i="3"/>
  <c r="DA79" i="3"/>
  <c r="A80" i="3"/>
  <c r="CY80" i="3"/>
  <c r="CZ80" i="3"/>
  <c r="DA80" i="3"/>
  <c r="A81" i="3"/>
  <c r="CY81" i="3"/>
  <c r="CZ81" i="3"/>
  <c r="DA81" i="3"/>
  <c r="A82" i="3"/>
  <c r="CY82" i="3"/>
  <c r="CZ82" i="3"/>
  <c r="DA82" i="3"/>
  <c r="A83" i="3"/>
  <c r="CY83" i="3"/>
  <c r="CZ83" i="3"/>
  <c r="DA83" i="3"/>
  <c r="A84" i="3"/>
  <c r="CY84" i="3"/>
  <c r="CZ84" i="3"/>
  <c r="DA84" i="3"/>
  <c r="A85" i="3"/>
  <c r="CY85" i="3"/>
  <c r="CZ85" i="3"/>
  <c r="DA85" i="3"/>
  <c r="A86" i="3"/>
  <c r="CY86" i="3"/>
  <c r="CZ86" i="3"/>
  <c r="DA86" i="3"/>
  <c r="A87" i="3"/>
  <c r="CY87" i="3"/>
  <c r="CZ87" i="3"/>
  <c r="DA87" i="3"/>
  <c r="A88" i="3"/>
  <c r="CY88" i="3"/>
  <c r="CZ88" i="3"/>
  <c r="DA88" i="3"/>
  <c r="A89" i="3"/>
  <c r="CY89" i="3"/>
  <c r="CZ89" i="3"/>
  <c r="DA89" i="3"/>
  <c r="A90" i="3"/>
  <c r="CY90" i="3"/>
  <c r="CZ90" i="3"/>
  <c r="DA90" i="3"/>
  <c r="A91" i="3"/>
  <c r="CY91" i="3"/>
  <c r="CZ91" i="3"/>
  <c r="DA91" i="3"/>
  <c r="A92" i="3"/>
  <c r="CY92" i="3"/>
  <c r="CZ92" i="3"/>
  <c r="DA92" i="3"/>
  <c r="A93" i="3"/>
  <c r="CY93" i="3"/>
  <c r="CZ93" i="3"/>
  <c r="DA93" i="3"/>
  <c r="A94" i="3"/>
  <c r="CY94" i="3"/>
  <c r="CZ94" i="3"/>
  <c r="DA94" i="3"/>
  <c r="A95" i="3"/>
  <c r="CY95" i="3"/>
  <c r="CZ95" i="3"/>
  <c r="DA95" i="3"/>
  <c r="A96" i="3"/>
  <c r="CY96" i="3"/>
  <c r="CZ96" i="3"/>
  <c r="DA96" i="3"/>
  <c r="A97" i="3"/>
  <c r="CY97" i="3"/>
  <c r="CZ97" i="3"/>
  <c r="DA97" i="3"/>
  <c r="A98" i="3"/>
  <c r="CY98" i="3"/>
  <c r="CZ98" i="3"/>
  <c r="DA98" i="3"/>
  <c r="A99" i="3"/>
  <c r="CY99" i="3"/>
  <c r="CZ99" i="3"/>
  <c r="DA99" i="3"/>
  <c r="A100" i="3"/>
  <c r="CY100" i="3"/>
  <c r="CZ100" i="3"/>
  <c r="DA100" i="3"/>
  <c r="A101" i="3"/>
  <c r="CY101" i="3"/>
  <c r="CZ101" i="3"/>
  <c r="DA101" i="3"/>
  <c r="A102" i="3"/>
  <c r="CY102" i="3"/>
  <c r="CZ102" i="3"/>
  <c r="DA102" i="3"/>
  <c r="A103" i="3"/>
  <c r="CY103" i="3"/>
  <c r="CZ103" i="3"/>
  <c r="DA103" i="3"/>
  <c r="A104" i="3"/>
  <c r="CY104" i="3"/>
  <c r="CZ104" i="3"/>
  <c r="DA104" i="3"/>
  <c r="A105" i="3"/>
  <c r="CY105" i="3"/>
  <c r="CZ105" i="3"/>
  <c r="DA105" i="3"/>
  <c r="A106" i="3"/>
  <c r="CY106" i="3"/>
  <c r="CZ106" i="3"/>
  <c r="DA106" i="3"/>
  <c r="A107" i="3"/>
  <c r="CY107" i="3"/>
  <c r="CZ107" i="3"/>
  <c r="DA107" i="3"/>
  <c r="A108" i="3"/>
  <c r="CY108" i="3"/>
  <c r="CZ108" i="3"/>
  <c r="DA108" i="3"/>
  <c r="A109" i="3"/>
  <c r="CY109" i="3"/>
  <c r="CZ109" i="3"/>
  <c r="DA109" i="3"/>
  <c r="A110" i="3"/>
  <c r="CY110" i="3"/>
  <c r="CZ110" i="3"/>
  <c r="DA110" i="3"/>
  <c r="A111" i="3"/>
  <c r="CY111" i="3"/>
  <c r="CZ111" i="3"/>
  <c r="DA111" i="3"/>
  <c r="A112" i="3"/>
  <c r="CY112" i="3"/>
  <c r="CZ112" i="3"/>
  <c r="DA112" i="3"/>
  <c r="A113" i="3"/>
  <c r="CY113" i="3"/>
  <c r="CZ113" i="3"/>
  <c r="DA113" i="3"/>
  <c r="A114" i="3"/>
  <c r="CY114" i="3"/>
  <c r="CZ114" i="3"/>
  <c r="DA114" i="3"/>
  <c r="A115" i="3"/>
  <c r="CY115" i="3"/>
  <c r="CZ115" i="3"/>
  <c r="DA115" i="3"/>
  <c r="A116" i="3"/>
  <c r="CY116" i="3"/>
  <c r="CZ116" i="3"/>
  <c r="DA116" i="3"/>
  <c r="A117" i="3"/>
  <c r="CY117" i="3"/>
  <c r="CZ117" i="3"/>
  <c r="DA117" i="3"/>
  <c r="A118" i="3"/>
  <c r="CY118" i="3"/>
  <c r="CZ118" i="3"/>
  <c r="DA118" i="3"/>
  <c r="A119" i="3"/>
  <c r="CY119" i="3"/>
  <c r="CZ119" i="3"/>
  <c r="DA119" i="3"/>
  <c r="A120" i="3"/>
  <c r="CY120" i="3"/>
  <c r="CZ120" i="3"/>
  <c r="DA120" i="3"/>
  <c r="A121" i="3"/>
  <c r="CY121" i="3"/>
  <c r="CZ121" i="3"/>
  <c r="DA121" i="3"/>
  <c r="A122" i="3"/>
  <c r="CY122" i="3"/>
  <c r="CZ122" i="3"/>
  <c r="DA122" i="3"/>
  <c r="D12" i="1"/>
  <c r="E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C18" i="1"/>
  <c r="DD18" i="1"/>
  <c r="DE18" i="1"/>
  <c r="DF18" i="1"/>
  <c r="DG18" i="1"/>
  <c r="DH18" i="1"/>
  <c r="DI18" i="1"/>
  <c r="DJ18" i="1"/>
  <c r="DK18" i="1"/>
  <c r="DL18" i="1"/>
  <c r="DM18" i="1"/>
  <c r="DN18" i="1"/>
  <c r="D20" i="1"/>
  <c r="E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C22" i="1"/>
  <c r="DD22" i="1"/>
  <c r="DE22" i="1"/>
  <c r="DF22" i="1"/>
  <c r="DG22" i="1"/>
  <c r="DH22" i="1"/>
  <c r="DI22" i="1"/>
  <c r="DJ22" i="1"/>
  <c r="DK22" i="1"/>
  <c r="DL22" i="1"/>
  <c r="DM22" i="1"/>
  <c r="DN22" i="1"/>
  <c r="D24" i="1"/>
  <c r="E26" i="1"/>
  <c r="Z26" i="1"/>
  <c r="AA26" i="1"/>
  <c r="AM26" i="1"/>
  <c r="AN26" i="1"/>
  <c r="BA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C26" i="1"/>
  <c r="DD26" i="1"/>
  <c r="DE26" i="1"/>
  <c r="DF26" i="1"/>
  <c r="DG26" i="1"/>
  <c r="DH26" i="1"/>
  <c r="DI26" i="1"/>
  <c r="DJ26" i="1"/>
  <c r="DK26" i="1"/>
  <c r="DL26" i="1"/>
  <c r="DM26" i="1"/>
  <c r="DN26" i="1"/>
  <c r="C28" i="1"/>
  <c r="D28" i="1"/>
  <c r="AC28" i="1"/>
  <c r="CQ28" i="1" s="1"/>
  <c r="P28" i="1" s="1"/>
  <c r="K27" i="5" s="1"/>
  <c r="AD28" i="1"/>
  <c r="I26" i="5" s="1"/>
  <c r="AE28" i="1"/>
  <c r="U23" i="5" s="1"/>
  <c r="AF28" i="1"/>
  <c r="I25" i="5" s="1"/>
  <c r="AG28" i="1"/>
  <c r="CU28" i="1"/>
  <c r="T28" i="1" s="1"/>
  <c r="AH28" i="1"/>
  <c r="AI28" i="1"/>
  <c r="CW28" i="1" s="1"/>
  <c r="V28" i="1" s="1"/>
  <c r="AJ28" i="1"/>
  <c r="CX28" i="1" s="1"/>
  <c r="W28" i="1" s="1"/>
  <c r="CS28" i="1"/>
  <c r="R28" i="1" s="1"/>
  <c r="GK28" i="1" s="1"/>
  <c r="CV28" i="1"/>
  <c r="U28" i="1"/>
  <c r="FR28" i="1"/>
  <c r="GL28" i="1"/>
  <c r="GO28" i="1"/>
  <c r="BG42" i="1" s="1"/>
  <c r="GP28" i="1"/>
  <c r="I29" i="1"/>
  <c r="E29" i="5" s="1"/>
  <c r="AC29" i="1"/>
  <c r="AD29" i="1"/>
  <c r="CR29" i="1" s="1"/>
  <c r="Q29" i="1" s="1"/>
  <c r="AE29" i="1"/>
  <c r="CS29" i="1" s="1"/>
  <c r="AF29" i="1"/>
  <c r="S29" i="5" s="1"/>
  <c r="AG29" i="1"/>
  <c r="AH29" i="1"/>
  <c r="CV29" i="1" s="1"/>
  <c r="U29" i="1" s="1"/>
  <c r="AI29" i="1"/>
  <c r="CW29" i="1" s="1"/>
  <c r="AJ29" i="1"/>
  <c r="CX29" i="1" s="1"/>
  <c r="W29" i="1" s="1"/>
  <c r="CT29" i="1"/>
  <c r="S29" i="1" s="1"/>
  <c r="CU29" i="1"/>
  <c r="T29" i="1" s="1"/>
  <c r="FR29" i="1"/>
  <c r="GL29" i="1"/>
  <c r="GO29" i="1"/>
  <c r="GP29" i="1"/>
  <c r="I30" i="1"/>
  <c r="E30" i="5" s="1"/>
  <c r="AC30" i="1"/>
  <c r="I30" i="5" s="1"/>
  <c r="X30" i="5" s="1"/>
  <c r="AD30" i="1"/>
  <c r="CR30" i="1" s="1"/>
  <c r="AE30" i="1"/>
  <c r="U30" i="5" s="1"/>
  <c r="AF30" i="1"/>
  <c r="CT30" i="1"/>
  <c r="S30" i="1" s="1"/>
  <c r="CZ30" i="1" s="1"/>
  <c r="Y30" i="1" s="1"/>
  <c r="T30" i="5" s="1"/>
  <c r="AG30" i="1"/>
  <c r="CU30" i="1" s="1"/>
  <c r="T30" i="1" s="1"/>
  <c r="AH30" i="1"/>
  <c r="CV30" i="1" s="1"/>
  <c r="U30" i="1" s="1"/>
  <c r="AI30" i="1"/>
  <c r="CW30" i="1"/>
  <c r="V30" i="1" s="1"/>
  <c r="AJ30" i="1"/>
  <c r="CX30" i="1"/>
  <c r="W30" i="1" s="1"/>
  <c r="FR30" i="1"/>
  <c r="GL30" i="1"/>
  <c r="GO30" i="1"/>
  <c r="GP30" i="1"/>
  <c r="I31" i="1"/>
  <c r="E31" i="5" s="1"/>
  <c r="AC31" i="1"/>
  <c r="CQ31" i="1"/>
  <c r="AD31" i="1"/>
  <c r="CR31" i="1" s="1"/>
  <c r="AE31" i="1"/>
  <c r="CS31" i="1" s="1"/>
  <c r="AF31" i="1"/>
  <c r="AG31" i="1"/>
  <c r="CU31" i="1" s="1"/>
  <c r="AH31" i="1"/>
  <c r="CV31" i="1" s="1"/>
  <c r="AI31" i="1"/>
  <c r="CW31" i="1" s="1"/>
  <c r="AJ31" i="1"/>
  <c r="CX31" i="1" s="1"/>
  <c r="FR31" i="1"/>
  <c r="GL31" i="1"/>
  <c r="GO31" i="1"/>
  <c r="GP31" i="1"/>
  <c r="I32" i="1"/>
  <c r="E32" i="5" s="1"/>
  <c r="AC32" i="1"/>
  <c r="CQ32" i="1"/>
  <c r="AD32" i="1"/>
  <c r="CR32" i="1"/>
  <c r="AE32" i="1"/>
  <c r="AF32" i="1"/>
  <c r="S32" i="5" s="1"/>
  <c r="AG32" i="1"/>
  <c r="CU32" i="1"/>
  <c r="AH32" i="1"/>
  <c r="AI32" i="1"/>
  <c r="AJ32" i="1"/>
  <c r="CS32" i="1"/>
  <c r="V32" i="5" s="1"/>
  <c r="CV32" i="1"/>
  <c r="CW32" i="1"/>
  <c r="CX32" i="1"/>
  <c r="FR32" i="1"/>
  <c r="GL32" i="1"/>
  <c r="GO32" i="1"/>
  <c r="GP32" i="1"/>
  <c r="C33" i="1"/>
  <c r="D33" i="1"/>
  <c r="AC33" i="1"/>
  <c r="AD33" i="1"/>
  <c r="AE33" i="1"/>
  <c r="W39" i="5" s="1"/>
  <c r="AF33" i="1"/>
  <c r="Q36" i="5" s="1"/>
  <c r="I41" i="5" s="1"/>
  <c r="AG33" i="1"/>
  <c r="AH33" i="1"/>
  <c r="CV33" i="1" s="1"/>
  <c r="U33" i="1" s="1"/>
  <c r="I44" i="5" s="1"/>
  <c r="AI33" i="1"/>
  <c r="CW33" i="1"/>
  <c r="V33" i="1" s="1"/>
  <c r="AJ33" i="1"/>
  <c r="CX33" i="1"/>
  <c r="W33" i="1" s="1"/>
  <c r="CS33" i="1"/>
  <c r="R33" i="1" s="1"/>
  <c r="CU33" i="1"/>
  <c r="T33" i="1" s="1"/>
  <c r="FR33" i="1"/>
  <c r="GL33" i="1"/>
  <c r="GO33" i="1"/>
  <c r="GP33" i="1"/>
  <c r="C34" i="1"/>
  <c r="D34" i="1"/>
  <c r="AC34" i="1"/>
  <c r="AD34" i="1"/>
  <c r="I48" i="5" s="1"/>
  <c r="AE34" i="1"/>
  <c r="I49" i="5" s="1"/>
  <c r="AF34" i="1"/>
  <c r="AG34" i="1"/>
  <c r="CU34" i="1" s="1"/>
  <c r="T34" i="1" s="1"/>
  <c r="AH34" i="1"/>
  <c r="CV34" i="1" s="1"/>
  <c r="U34" i="1" s="1"/>
  <c r="I55" i="5" s="1"/>
  <c r="AI34" i="1"/>
  <c r="CW34" i="1" s="1"/>
  <c r="V34" i="1" s="1"/>
  <c r="AJ34" i="1"/>
  <c r="CX34" i="1" s="1"/>
  <c r="W34" i="1" s="1"/>
  <c r="FR34" i="1"/>
  <c r="GL34" i="1"/>
  <c r="GO34" i="1"/>
  <c r="GP34" i="1"/>
  <c r="I35" i="1"/>
  <c r="E51" i="5" s="1"/>
  <c r="AC35" i="1"/>
  <c r="I51" i="5" s="1"/>
  <c r="X51" i="5" s="1"/>
  <c r="AD35" i="1"/>
  <c r="CR35" i="1"/>
  <c r="Q35" i="1" s="1"/>
  <c r="AE35" i="1"/>
  <c r="U51" i="5" s="1"/>
  <c r="CS35" i="1"/>
  <c r="AF35" i="1"/>
  <c r="S51" i="5" s="1"/>
  <c r="AG35" i="1"/>
  <c r="CU35" i="1"/>
  <c r="T35" i="1" s="1"/>
  <c r="AH35" i="1"/>
  <c r="CV35" i="1"/>
  <c r="U35" i="1" s="1"/>
  <c r="AI35" i="1"/>
  <c r="CW35" i="1" s="1"/>
  <c r="V35" i="1" s="1"/>
  <c r="AJ35" i="1"/>
  <c r="CT35" i="1"/>
  <c r="S35" i="1" s="1"/>
  <c r="CX35" i="1"/>
  <c r="W35" i="1" s="1"/>
  <c r="FR35" i="1"/>
  <c r="GL35" i="1"/>
  <c r="GO35" i="1"/>
  <c r="GP35" i="1"/>
  <c r="C36" i="1"/>
  <c r="D36" i="1"/>
  <c r="I36" i="1"/>
  <c r="C58" i="5" s="1"/>
  <c r="AC36" i="1"/>
  <c r="CQ36" i="1" s="1"/>
  <c r="AD36" i="1"/>
  <c r="AE36" i="1"/>
  <c r="CS36" i="1" s="1"/>
  <c r="AF36" i="1"/>
  <c r="AG36" i="1"/>
  <c r="AH36" i="1"/>
  <c r="CV36" i="1" s="1"/>
  <c r="U36" i="1" s="1"/>
  <c r="I65" i="5" s="1"/>
  <c r="AI36" i="1"/>
  <c r="CW36" i="1" s="1"/>
  <c r="V36" i="1" s="1"/>
  <c r="AJ36" i="1"/>
  <c r="CX36" i="1"/>
  <c r="CU36" i="1"/>
  <c r="FR36" i="1"/>
  <c r="BC42" i="1" s="1"/>
  <c r="GL36" i="1"/>
  <c r="GO36" i="1"/>
  <c r="GP36" i="1"/>
  <c r="AC37" i="1"/>
  <c r="CQ37" i="1" s="1"/>
  <c r="P37" i="1" s="1"/>
  <c r="AD37" i="1"/>
  <c r="AE37" i="1"/>
  <c r="CS37" i="1" s="1"/>
  <c r="AF37" i="1"/>
  <c r="CT37" i="1"/>
  <c r="S37" i="1" s="1"/>
  <c r="AG37" i="1"/>
  <c r="CU37" i="1" s="1"/>
  <c r="AH37" i="1"/>
  <c r="CV37" i="1" s="1"/>
  <c r="AI37" i="1"/>
  <c r="CW37" i="1" s="1"/>
  <c r="AJ37" i="1"/>
  <c r="CX37" i="1" s="1"/>
  <c r="CR37" i="1"/>
  <c r="FR37" i="1"/>
  <c r="GL37" i="1"/>
  <c r="GN37" i="1"/>
  <c r="GO37" i="1"/>
  <c r="AC38" i="1"/>
  <c r="CQ38" i="1" s="1"/>
  <c r="AD38" i="1"/>
  <c r="CR38" i="1" s="1"/>
  <c r="AE38" i="1"/>
  <c r="CS38" i="1"/>
  <c r="AF38" i="1"/>
  <c r="AG38" i="1"/>
  <c r="CU38" i="1" s="1"/>
  <c r="AH38" i="1"/>
  <c r="CV38" i="1"/>
  <c r="AI38" i="1"/>
  <c r="CW38" i="1"/>
  <c r="AJ38" i="1"/>
  <c r="CX38" i="1" s="1"/>
  <c r="FR38" i="1"/>
  <c r="GL38" i="1"/>
  <c r="GN38" i="1"/>
  <c r="GO38" i="1"/>
  <c r="AC39" i="1"/>
  <c r="CQ39" i="1"/>
  <c r="P39" i="1" s="1"/>
  <c r="AD39" i="1"/>
  <c r="AE39" i="1"/>
  <c r="U75" i="5" s="1"/>
  <c r="AF39" i="1"/>
  <c r="S75" i="5" s="1"/>
  <c r="AG39" i="1"/>
  <c r="CU39" i="1" s="1"/>
  <c r="T39" i="1" s="1"/>
  <c r="AH39" i="1"/>
  <c r="CV39" i="1" s="1"/>
  <c r="U39" i="1" s="1"/>
  <c r="AI39" i="1"/>
  <c r="CW39" i="1" s="1"/>
  <c r="V39" i="1" s="1"/>
  <c r="AJ39" i="1"/>
  <c r="CX39" i="1" s="1"/>
  <c r="W39" i="1" s="1"/>
  <c r="FR39" i="1"/>
  <c r="GL39" i="1"/>
  <c r="GN39" i="1"/>
  <c r="GO39" i="1"/>
  <c r="I40" i="1"/>
  <c r="E78" i="5" s="1"/>
  <c r="AC40" i="1"/>
  <c r="AD40" i="1"/>
  <c r="AE40" i="1"/>
  <c r="AF40" i="1"/>
  <c r="AG40" i="1"/>
  <c r="CU40" i="1" s="1"/>
  <c r="AH40" i="1"/>
  <c r="CV40" i="1" s="1"/>
  <c r="U40" i="1" s="1"/>
  <c r="AI40" i="1"/>
  <c r="CW40" i="1" s="1"/>
  <c r="AJ40" i="1"/>
  <c r="CX40" i="1" s="1"/>
  <c r="CT40" i="1"/>
  <c r="S40" i="1" s="1"/>
  <c r="CZ40" i="1" s="1"/>
  <c r="Y40" i="1" s="1"/>
  <c r="T78" i="5" s="1"/>
  <c r="FR40" i="1"/>
  <c r="GL40" i="1"/>
  <c r="GN40" i="1"/>
  <c r="GO40" i="1"/>
  <c r="B42" i="1"/>
  <c r="B26" i="1" s="1"/>
  <c r="C42" i="1"/>
  <c r="C26" i="1" s="1"/>
  <c r="D42" i="1"/>
  <c r="D26" i="1"/>
  <c r="F42" i="1"/>
  <c r="F26" i="1" s="1"/>
  <c r="G42" i="1"/>
  <c r="BB42" i="1"/>
  <c r="AO42" i="1" s="1"/>
  <c r="D68" i="1"/>
  <c r="E70" i="1"/>
  <c r="Z70" i="1"/>
  <c r="AA70" i="1"/>
  <c r="AM70" i="1"/>
  <c r="AN70" i="1"/>
  <c r="BA70" i="1"/>
  <c r="BN70" i="1"/>
  <c r="BO70" i="1"/>
  <c r="BP70" i="1"/>
  <c r="BQ70" i="1"/>
  <c r="BR70" i="1"/>
  <c r="BS70" i="1"/>
  <c r="BT70" i="1"/>
  <c r="BU70" i="1"/>
  <c r="BV70" i="1"/>
  <c r="BW70" i="1"/>
  <c r="BX70" i="1"/>
  <c r="BY70" i="1"/>
  <c r="BZ70" i="1"/>
  <c r="CA70" i="1"/>
  <c r="CB70" i="1"/>
  <c r="CC70" i="1"/>
  <c r="CD70" i="1"/>
  <c r="CE70" i="1"/>
  <c r="CF70" i="1"/>
  <c r="CG70" i="1"/>
  <c r="CH70" i="1"/>
  <c r="CI70" i="1"/>
  <c r="CJ70" i="1"/>
  <c r="CK70" i="1"/>
  <c r="CL70" i="1"/>
  <c r="CM70" i="1"/>
  <c r="CN70" i="1"/>
  <c r="CO70" i="1"/>
  <c r="CP70" i="1"/>
  <c r="CQ70" i="1"/>
  <c r="CR70" i="1"/>
  <c r="CS70" i="1"/>
  <c r="CT70" i="1"/>
  <c r="CU70" i="1"/>
  <c r="CV70" i="1"/>
  <c r="CW70" i="1"/>
  <c r="CX70" i="1"/>
  <c r="CY70" i="1"/>
  <c r="CZ70" i="1"/>
  <c r="DA70" i="1"/>
  <c r="DB70" i="1"/>
  <c r="DC70" i="1"/>
  <c r="DD70" i="1"/>
  <c r="DE70" i="1"/>
  <c r="DF70" i="1"/>
  <c r="DG70" i="1"/>
  <c r="DH70" i="1"/>
  <c r="DI70" i="1"/>
  <c r="DJ70" i="1"/>
  <c r="DK70" i="1"/>
  <c r="DL70" i="1"/>
  <c r="DM70" i="1"/>
  <c r="DN70" i="1"/>
  <c r="C72" i="1"/>
  <c r="D72" i="1"/>
  <c r="AC72" i="1"/>
  <c r="CQ72" i="1" s="1"/>
  <c r="P72" i="1"/>
  <c r="K90" i="5" s="1"/>
  <c r="AD72" i="1"/>
  <c r="I89" i="5" s="1"/>
  <c r="CR72" i="1"/>
  <c r="Q72" i="1" s="1"/>
  <c r="K89" i="5" s="1"/>
  <c r="AE72" i="1"/>
  <c r="AF72" i="1"/>
  <c r="CT72" i="1" s="1"/>
  <c r="S72" i="1" s="1"/>
  <c r="K88" i="5" s="1"/>
  <c r="AG72" i="1"/>
  <c r="CU72" i="1" s="1"/>
  <c r="T72" i="1" s="1"/>
  <c r="AH72" i="1"/>
  <c r="AI72" i="1"/>
  <c r="CW72" i="1" s="1"/>
  <c r="V72" i="1" s="1"/>
  <c r="AJ72" i="1"/>
  <c r="CV72" i="1"/>
  <c r="U72" i="1" s="1"/>
  <c r="CX72" i="1"/>
  <c r="W72" i="1" s="1"/>
  <c r="FR72" i="1"/>
  <c r="GL72" i="1"/>
  <c r="GO72" i="1"/>
  <c r="GP72" i="1"/>
  <c r="I73" i="1"/>
  <c r="E92" i="5" s="1"/>
  <c r="AC73" i="1"/>
  <c r="AD73" i="1"/>
  <c r="CR73" i="1" s="1"/>
  <c r="Q73" i="1" s="1"/>
  <c r="AE73" i="1"/>
  <c r="AF73" i="1"/>
  <c r="AG73" i="1"/>
  <c r="AH73" i="1"/>
  <c r="CV73" i="1" s="1"/>
  <c r="U73" i="1" s="1"/>
  <c r="AI73" i="1"/>
  <c r="CW73" i="1"/>
  <c r="V73" i="1" s="1"/>
  <c r="AJ73" i="1"/>
  <c r="CX73" i="1" s="1"/>
  <c r="CS73" i="1"/>
  <c r="R73" i="1" s="1"/>
  <c r="GK73" i="1" s="1"/>
  <c r="CU73" i="1"/>
  <c r="T73" i="1" s="1"/>
  <c r="FR73" i="1"/>
  <c r="GL73" i="1"/>
  <c r="GO73" i="1"/>
  <c r="GP73" i="1"/>
  <c r="I74" i="1"/>
  <c r="E93" i="5" s="1"/>
  <c r="AC74" i="1"/>
  <c r="AB74" i="1"/>
  <c r="AD74" i="1"/>
  <c r="AE74" i="1"/>
  <c r="CS74" i="1" s="1"/>
  <c r="AF74" i="1"/>
  <c r="AG74" i="1"/>
  <c r="CU74" i="1"/>
  <c r="T74" i="1" s="1"/>
  <c r="AH74" i="1"/>
  <c r="CV74" i="1"/>
  <c r="AI74" i="1"/>
  <c r="CW74" i="1" s="1"/>
  <c r="V74" i="1"/>
  <c r="AJ74" i="1"/>
  <c r="CX74" i="1"/>
  <c r="CQ74" i="1"/>
  <c r="CR74" i="1"/>
  <c r="Q74" i="1" s="1"/>
  <c r="FR74" i="1"/>
  <c r="GL74" i="1"/>
  <c r="GO74" i="1"/>
  <c r="GP74" i="1"/>
  <c r="C75" i="1"/>
  <c r="D75" i="1"/>
  <c r="AC75" i="1"/>
  <c r="I101" i="5" s="1"/>
  <c r="CQ75" i="1"/>
  <c r="P75" i="1" s="1"/>
  <c r="AD75" i="1"/>
  <c r="AE75" i="1"/>
  <c r="AF75" i="1"/>
  <c r="CT75" i="1" s="1"/>
  <c r="S75" i="1" s="1"/>
  <c r="AG75" i="1"/>
  <c r="CU75" i="1" s="1"/>
  <c r="T75" i="1" s="1"/>
  <c r="AH75" i="1"/>
  <c r="CV75" i="1"/>
  <c r="U75" i="1" s="1"/>
  <c r="I105" i="5" s="1"/>
  <c r="AI75" i="1"/>
  <c r="CW75" i="1" s="1"/>
  <c r="V75" i="1" s="1"/>
  <c r="AJ75" i="1"/>
  <c r="CX75" i="1" s="1"/>
  <c r="W75" i="1" s="1"/>
  <c r="FR75" i="1"/>
  <c r="GL75" i="1"/>
  <c r="GO75" i="1"/>
  <c r="GP75" i="1"/>
  <c r="C76" i="1"/>
  <c r="D76" i="1"/>
  <c r="I76" i="1"/>
  <c r="CX26" i="3"/>
  <c r="AC76" i="1"/>
  <c r="AD76" i="1"/>
  <c r="CR76" i="1" s="1"/>
  <c r="Q76" i="1"/>
  <c r="K111" i="5" s="1"/>
  <c r="AE76" i="1"/>
  <c r="AF76" i="1"/>
  <c r="CT76" i="1" s="1"/>
  <c r="AG76" i="1"/>
  <c r="CU76" i="1" s="1"/>
  <c r="T76" i="1" s="1"/>
  <c r="AH76" i="1"/>
  <c r="CV76" i="1" s="1"/>
  <c r="U76" i="1" s="1"/>
  <c r="AI76" i="1"/>
  <c r="CW76" i="1"/>
  <c r="V76" i="1" s="1"/>
  <c r="AJ76" i="1"/>
  <c r="CX76" i="1"/>
  <c r="W76" i="1" s="1"/>
  <c r="CS76" i="1"/>
  <c r="V107" i="5" s="1"/>
  <c r="S76" i="1"/>
  <c r="K110" i="5" s="1"/>
  <c r="FR76" i="1"/>
  <c r="GL76" i="1"/>
  <c r="GO76" i="1"/>
  <c r="GP76" i="1"/>
  <c r="I77" i="1"/>
  <c r="AC77" i="1"/>
  <c r="AD77" i="1"/>
  <c r="AE77" i="1"/>
  <c r="CS77" i="1"/>
  <c r="AF77" i="1"/>
  <c r="CT77" i="1"/>
  <c r="AG77" i="1"/>
  <c r="CU77" i="1"/>
  <c r="AH77" i="1"/>
  <c r="CV77" i="1" s="1"/>
  <c r="U77" i="1" s="1"/>
  <c r="AI77" i="1"/>
  <c r="CW77" i="1" s="1"/>
  <c r="AJ77" i="1"/>
  <c r="CX77" i="1" s="1"/>
  <c r="W77" i="1"/>
  <c r="CR77" i="1"/>
  <c r="Q77" i="1" s="1"/>
  <c r="FR77" i="1"/>
  <c r="GL77" i="1"/>
  <c r="GO77" i="1"/>
  <c r="GP77" i="1"/>
  <c r="C78" i="1"/>
  <c r="D78" i="1"/>
  <c r="I78" i="1"/>
  <c r="CX29" i="3" s="1"/>
  <c r="AC78" i="1"/>
  <c r="AD78" i="1"/>
  <c r="AE78" i="1"/>
  <c r="CS78" i="1" s="1"/>
  <c r="R78" i="1"/>
  <c r="AF78" i="1"/>
  <c r="AG78" i="1"/>
  <c r="CU78" i="1" s="1"/>
  <c r="AH78" i="1"/>
  <c r="CV78" i="1" s="1"/>
  <c r="U78" i="1"/>
  <c r="I126" i="5" s="1"/>
  <c r="AI78" i="1"/>
  <c r="AJ78" i="1"/>
  <c r="CT78" i="1"/>
  <c r="S78" i="1"/>
  <c r="K120" i="5" s="1"/>
  <c r="CW78" i="1"/>
  <c r="CX78" i="1"/>
  <c r="FR78" i="1"/>
  <c r="GL78" i="1"/>
  <c r="GO78" i="1"/>
  <c r="GP78" i="1"/>
  <c r="AC79" i="1"/>
  <c r="CQ79" i="1" s="1"/>
  <c r="AD79" i="1"/>
  <c r="AE79" i="1"/>
  <c r="CS79" i="1"/>
  <c r="AF79" i="1"/>
  <c r="AG79" i="1"/>
  <c r="CU79" i="1" s="1"/>
  <c r="AH79" i="1"/>
  <c r="CV79" i="1" s="1"/>
  <c r="AI79" i="1"/>
  <c r="CW79" i="1" s="1"/>
  <c r="AJ79" i="1"/>
  <c r="CX79" i="1"/>
  <c r="FR79" i="1"/>
  <c r="GL79" i="1"/>
  <c r="GN79" i="1"/>
  <c r="GO79" i="1"/>
  <c r="AC80" i="1"/>
  <c r="AD80" i="1"/>
  <c r="AE80" i="1"/>
  <c r="CS80" i="1" s="1"/>
  <c r="AF80" i="1"/>
  <c r="AG80" i="1"/>
  <c r="CU80" i="1" s="1"/>
  <c r="AH80" i="1"/>
  <c r="CV80" i="1" s="1"/>
  <c r="AI80" i="1"/>
  <c r="CW80" i="1" s="1"/>
  <c r="AJ80" i="1"/>
  <c r="CX80" i="1" s="1"/>
  <c r="FR80" i="1"/>
  <c r="GL80" i="1"/>
  <c r="GN80" i="1"/>
  <c r="GO80" i="1"/>
  <c r="AC81" i="1"/>
  <c r="CQ81" i="1" s="1"/>
  <c r="P81" i="1" s="1"/>
  <c r="AD81" i="1"/>
  <c r="I137" i="5" s="1"/>
  <c r="AA138" i="5" s="1"/>
  <c r="AE81" i="1"/>
  <c r="AF81" i="1"/>
  <c r="AG81" i="1"/>
  <c r="CU81" i="1"/>
  <c r="T81" i="1" s="1"/>
  <c r="AH81" i="1"/>
  <c r="CV81" i="1"/>
  <c r="U81" i="1" s="1"/>
  <c r="AI81" i="1"/>
  <c r="CW81" i="1"/>
  <c r="V81" i="1" s="1"/>
  <c r="AJ81" i="1"/>
  <c r="CX81" i="1" s="1"/>
  <c r="W81" i="1" s="1"/>
  <c r="CR81" i="1"/>
  <c r="Q81" i="1" s="1"/>
  <c r="K137" i="5" s="1"/>
  <c r="J138" i="5" s="1"/>
  <c r="P138" i="5" s="1"/>
  <c r="FR81" i="1"/>
  <c r="GL81" i="1"/>
  <c r="GN81" i="1"/>
  <c r="GO81" i="1"/>
  <c r="I82" i="1"/>
  <c r="E139" i="5" s="1"/>
  <c r="AC82" i="1"/>
  <c r="AD82" i="1"/>
  <c r="I140" i="5" s="1"/>
  <c r="H141" i="5" s="1"/>
  <c r="O141" i="5" s="1"/>
  <c r="CR82" i="1"/>
  <c r="Q82" i="1" s="1"/>
  <c r="K140" i="5" s="1"/>
  <c r="J141" i="5" s="1"/>
  <c r="P141" i="5" s="1"/>
  <c r="AE82" i="1"/>
  <c r="U139" i="5" s="1"/>
  <c r="AF82" i="1"/>
  <c r="CT82" i="1"/>
  <c r="S82" i="1" s="1"/>
  <c r="CY82" i="1" s="1"/>
  <c r="X82" i="1" s="1"/>
  <c r="R139" i="5" s="1"/>
  <c r="AG82" i="1"/>
  <c r="AH82" i="1"/>
  <c r="CV82" i="1"/>
  <c r="U82" i="1" s="1"/>
  <c r="AI82" i="1"/>
  <c r="CW82" i="1" s="1"/>
  <c r="V82" i="1" s="1"/>
  <c r="AJ82" i="1"/>
  <c r="CX82" i="1" s="1"/>
  <c r="W82" i="1" s="1"/>
  <c r="CU82" i="1"/>
  <c r="T82" i="1" s="1"/>
  <c r="FR82" i="1"/>
  <c r="GL82" i="1"/>
  <c r="GN82" i="1"/>
  <c r="GO82" i="1"/>
  <c r="B84" i="1"/>
  <c r="B70" i="1" s="1"/>
  <c r="C84" i="1"/>
  <c r="C70" i="1" s="1"/>
  <c r="D84" i="1"/>
  <c r="D70" i="1" s="1"/>
  <c r="F84" i="1"/>
  <c r="F70" i="1" s="1"/>
  <c r="G84" i="1"/>
  <c r="G70" i="1" s="1"/>
  <c r="BB84" i="1"/>
  <c r="BB70" i="1" s="1"/>
  <c r="D110" i="1"/>
  <c r="E112" i="1"/>
  <c r="Z112" i="1"/>
  <c r="AA112" i="1"/>
  <c r="AM112" i="1"/>
  <c r="AN112" i="1"/>
  <c r="BA112" i="1"/>
  <c r="BN112" i="1"/>
  <c r="BO112" i="1"/>
  <c r="BP112" i="1"/>
  <c r="BQ112" i="1"/>
  <c r="BR112" i="1"/>
  <c r="BS112" i="1"/>
  <c r="BT112" i="1"/>
  <c r="BU112" i="1"/>
  <c r="BV112" i="1"/>
  <c r="BW112" i="1"/>
  <c r="BX112" i="1"/>
  <c r="BY112" i="1"/>
  <c r="BZ112" i="1"/>
  <c r="CA112" i="1"/>
  <c r="CB112" i="1"/>
  <c r="CC112" i="1"/>
  <c r="CD112" i="1"/>
  <c r="CE112" i="1"/>
  <c r="CF112" i="1"/>
  <c r="CG112" i="1"/>
  <c r="CH112" i="1"/>
  <c r="CI112" i="1"/>
  <c r="CJ112" i="1"/>
  <c r="CK112" i="1"/>
  <c r="CL112" i="1"/>
  <c r="CM112" i="1"/>
  <c r="CN112" i="1"/>
  <c r="CO112" i="1"/>
  <c r="CP112" i="1"/>
  <c r="CQ112" i="1"/>
  <c r="CR112" i="1"/>
  <c r="CS112" i="1"/>
  <c r="CT112" i="1"/>
  <c r="CU112" i="1"/>
  <c r="CV112" i="1"/>
  <c r="CW112" i="1"/>
  <c r="CX112" i="1"/>
  <c r="CY112" i="1"/>
  <c r="CZ112" i="1"/>
  <c r="DA112" i="1"/>
  <c r="DB112" i="1"/>
  <c r="DC112" i="1"/>
  <c r="DD112" i="1"/>
  <c r="DE112" i="1"/>
  <c r="DF112" i="1"/>
  <c r="DG112" i="1"/>
  <c r="DH112" i="1"/>
  <c r="DI112" i="1"/>
  <c r="DJ112" i="1"/>
  <c r="DK112" i="1"/>
  <c r="DL112" i="1"/>
  <c r="DM112" i="1"/>
  <c r="DN112" i="1"/>
  <c r="C114" i="1"/>
  <c r="D114" i="1"/>
  <c r="I114" i="1"/>
  <c r="CX36" i="3" s="1"/>
  <c r="AC114" i="1"/>
  <c r="CQ114" i="1" s="1"/>
  <c r="P114" i="1" s="1"/>
  <c r="AD114" i="1"/>
  <c r="CR114" i="1" s="1"/>
  <c r="AE114" i="1"/>
  <c r="AF114" i="1"/>
  <c r="AG114" i="1"/>
  <c r="CU114" i="1" s="1"/>
  <c r="T114" i="1" s="1"/>
  <c r="AH114" i="1"/>
  <c r="CV114" i="1"/>
  <c r="U114" i="1" s="1"/>
  <c r="I155" i="5" s="1"/>
  <c r="AI114" i="1"/>
  <c r="CW114" i="1"/>
  <c r="V114" i="1" s="1"/>
  <c r="AJ114" i="1"/>
  <c r="CX114" i="1" s="1"/>
  <c r="W114" i="1" s="1"/>
  <c r="CT114" i="1"/>
  <c r="S114" i="1"/>
  <c r="K149" i="5" s="1"/>
  <c r="FR114" i="1"/>
  <c r="GL114" i="1"/>
  <c r="GO114" i="1"/>
  <c r="GP114" i="1"/>
  <c r="C115" i="1"/>
  <c r="D115" i="1"/>
  <c r="S115" i="1"/>
  <c r="CY115" i="1" s="1"/>
  <c r="X115" i="1" s="1"/>
  <c r="R157" i="5" s="1"/>
  <c r="AC115" i="1"/>
  <c r="CQ115" i="1" s="1"/>
  <c r="P115" i="1" s="1"/>
  <c r="AD115" i="1"/>
  <c r="I158" i="5" s="1"/>
  <c r="AE115" i="1"/>
  <c r="CS115" i="1"/>
  <c r="AF115" i="1"/>
  <c r="CT115" i="1" s="1"/>
  <c r="AG115" i="1"/>
  <c r="AH115" i="1"/>
  <c r="CV115" i="1" s="1"/>
  <c r="U115" i="1" s="1"/>
  <c r="AI115" i="1"/>
  <c r="CW115" i="1"/>
  <c r="V115" i="1" s="1"/>
  <c r="AJ115" i="1"/>
  <c r="CX115" i="1" s="1"/>
  <c r="W115" i="1" s="1"/>
  <c r="CU115" i="1"/>
  <c r="T115" i="1" s="1"/>
  <c r="CZ115" i="1"/>
  <c r="Y115" i="1" s="1"/>
  <c r="T157" i="5" s="1"/>
  <c r="FR115" i="1"/>
  <c r="GL115" i="1"/>
  <c r="GO115" i="1"/>
  <c r="GP115" i="1"/>
  <c r="C116" i="1"/>
  <c r="D116" i="1"/>
  <c r="AC116" i="1"/>
  <c r="I166" i="5" s="1"/>
  <c r="AD116" i="1"/>
  <c r="AE116" i="1"/>
  <c r="U162" i="5" s="1"/>
  <c r="AF116" i="1"/>
  <c r="CT116" i="1" s="1"/>
  <c r="S116" i="1" s="1"/>
  <c r="AG116" i="1"/>
  <c r="CU116" i="1"/>
  <c r="T116" i="1" s="1"/>
  <c r="AH116" i="1"/>
  <c r="CV116" i="1" s="1"/>
  <c r="U116" i="1" s="1"/>
  <c r="AI116" i="1"/>
  <c r="CW116" i="1" s="1"/>
  <c r="V116" i="1" s="1"/>
  <c r="AJ116" i="1"/>
  <c r="CX116" i="1" s="1"/>
  <c r="W116" i="1" s="1"/>
  <c r="FR116" i="1"/>
  <c r="GL116" i="1"/>
  <c r="GO116" i="1"/>
  <c r="GP116" i="1"/>
  <c r="I117" i="1"/>
  <c r="E168" i="5" s="1"/>
  <c r="AC117" i="1"/>
  <c r="I168" i="5" s="1"/>
  <c r="X168" i="5" s="1"/>
  <c r="AD117" i="1"/>
  <c r="AE117" i="1"/>
  <c r="AF117" i="1"/>
  <c r="AG117" i="1"/>
  <c r="CU117" i="1" s="1"/>
  <c r="T117" i="1" s="1"/>
  <c r="AH117" i="1"/>
  <c r="CV117" i="1" s="1"/>
  <c r="U117" i="1" s="1"/>
  <c r="AI117" i="1"/>
  <c r="CW117" i="1" s="1"/>
  <c r="V117" i="1"/>
  <c r="AJ117" i="1"/>
  <c r="CX117" i="1" s="1"/>
  <c r="W117" i="1" s="1"/>
  <c r="CT117" i="1"/>
  <c r="S117" i="1" s="1"/>
  <c r="FR117" i="1"/>
  <c r="GL117" i="1"/>
  <c r="GO117" i="1"/>
  <c r="GP117" i="1"/>
  <c r="I118" i="1"/>
  <c r="E169" i="5" s="1"/>
  <c r="AC118" i="1"/>
  <c r="I169" i="5" s="1"/>
  <c r="X169" i="5" s="1"/>
  <c r="AD118" i="1"/>
  <c r="AE118" i="1"/>
  <c r="AF118" i="1"/>
  <c r="CT118" i="1"/>
  <c r="AG118" i="1"/>
  <c r="CU118" i="1"/>
  <c r="AH118" i="1"/>
  <c r="CV118" i="1" s="1"/>
  <c r="AI118" i="1"/>
  <c r="CW118" i="1" s="1"/>
  <c r="AJ118" i="1"/>
  <c r="CR118" i="1"/>
  <c r="CX118" i="1"/>
  <c r="FR118" i="1"/>
  <c r="GL118" i="1"/>
  <c r="GO118" i="1"/>
  <c r="GP118" i="1"/>
  <c r="AC119" i="1"/>
  <c r="AD119" i="1"/>
  <c r="I176" i="5" s="1"/>
  <c r="AE119" i="1"/>
  <c r="AF119" i="1"/>
  <c r="AG119" i="1"/>
  <c r="AH119" i="1"/>
  <c r="CV119" i="1" s="1"/>
  <c r="U119" i="1" s="1"/>
  <c r="AI119" i="1"/>
  <c r="CW119" i="1"/>
  <c r="V119" i="1" s="1"/>
  <c r="AJ119" i="1"/>
  <c r="CT119" i="1"/>
  <c r="S119" i="1" s="1"/>
  <c r="CU119" i="1"/>
  <c r="T119" i="1" s="1"/>
  <c r="CX119" i="1"/>
  <c r="W119" i="1" s="1"/>
  <c r="FR119" i="1"/>
  <c r="GL119" i="1"/>
  <c r="GO119" i="1"/>
  <c r="GP119" i="1"/>
  <c r="C120" i="1"/>
  <c r="D120" i="1"/>
  <c r="I120" i="1"/>
  <c r="I121" i="1"/>
  <c r="AC120" i="1"/>
  <c r="I187" i="5" s="1"/>
  <c r="AD120" i="1"/>
  <c r="AE120" i="1"/>
  <c r="AF120" i="1"/>
  <c r="CT120" i="1"/>
  <c r="S120" i="1" s="1"/>
  <c r="K185" i="5" s="1"/>
  <c r="AG120" i="1"/>
  <c r="AH120" i="1"/>
  <c r="CV120" i="1" s="1"/>
  <c r="AI120" i="1"/>
  <c r="CW120" i="1" s="1"/>
  <c r="V120" i="1" s="1"/>
  <c r="AJ120" i="1"/>
  <c r="CX120" i="1" s="1"/>
  <c r="W120" i="1" s="1"/>
  <c r="CU120" i="1"/>
  <c r="T120" i="1" s="1"/>
  <c r="FR120" i="1"/>
  <c r="GL120" i="1"/>
  <c r="GO120" i="1"/>
  <c r="GP120" i="1"/>
  <c r="AC121" i="1"/>
  <c r="AD121" i="1"/>
  <c r="CR121" i="1" s="1"/>
  <c r="AE121" i="1"/>
  <c r="AF121" i="1"/>
  <c r="CT121" i="1" s="1"/>
  <c r="AG121" i="1"/>
  <c r="CU121" i="1" s="1"/>
  <c r="T121" i="1" s="1"/>
  <c r="AH121" i="1"/>
  <c r="CV121" i="1"/>
  <c r="AI121" i="1"/>
  <c r="AJ121" i="1"/>
  <c r="CX121" i="1" s="1"/>
  <c r="W121" i="1" s="1"/>
  <c r="CW121" i="1"/>
  <c r="FR121" i="1"/>
  <c r="GL121" i="1"/>
  <c r="GO121" i="1"/>
  <c r="GP121" i="1"/>
  <c r="C122" i="1"/>
  <c r="D122" i="1"/>
  <c r="I122" i="1"/>
  <c r="I123" i="1" s="1"/>
  <c r="AC122" i="1"/>
  <c r="AD122" i="1"/>
  <c r="CR122" i="1" s="1"/>
  <c r="Q122" i="1" s="1"/>
  <c r="K196" i="5" s="1"/>
  <c r="AE122" i="1"/>
  <c r="CS122" i="1" s="1"/>
  <c r="AF122" i="1"/>
  <c r="AG122" i="1"/>
  <c r="AH122" i="1"/>
  <c r="CV122" i="1" s="1"/>
  <c r="U122" i="1" s="1"/>
  <c r="I201" i="5" s="1"/>
  <c r="AI122" i="1"/>
  <c r="AJ122" i="1"/>
  <c r="CX122" i="1" s="1"/>
  <c r="W122" i="1"/>
  <c r="CT122" i="1"/>
  <c r="S122" i="1" s="1"/>
  <c r="CU122" i="1"/>
  <c r="CW122" i="1"/>
  <c r="FR122" i="1"/>
  <c r="GL122" i="1"/>
  <c r="GO122" i="1"/>
  <c r="GP122" i="1"/>
  <c r="AC123" i="1"/>
  <c r="CQ123" i="1" s="1"/>
  <c r="AD123" i="1"/>
  <c r="CR123" i="1" s="1"/>
  <c r="AE123" i="1"/>
  <c r="CS123" i="1"/>
  <c r="AF123" i="1"/>
  <c r="AG123" i="1"/>
  <c r="CU123" i="1" s="1"/>
  <c r="T123" i="1" s="1"/>
  <c r="AH123" i="1"/>
  <c r="CV123" i="1" s="1"/>
  <c r="U123" i="1" s="1"/>
  <c r="AI123" i="1"/>
  <c r="CW123" i="1" s="1"/>
  <c r="AJ123" i="1"/>
  <c r="CX123" i="1" s="1"/>
  <c r="W123" i="1" s="1"/>
  <c r="CT123" i="1"/>
  <c r="FR123" i="1"/>
  <c r="GL123" i="1"/>
  <c r="GN123" i="1"/>
  <c r="GO123" i="1"/>
  <c r="AC124" i="1"/>
  <c r="AD124" i="1"/>
  <c r="CR124" i="1" s="1"/>
  <c r="AE124" i="1"/>
  <c r="CS124" i="1" s="1"/>
  <c r="AF124" i="1"/>
  <c r="CT124" i="1" s="1"/>
  <c r="AG124" i="1"/>
  <c r="CU124" i="1" s="1"/>
  <c r="AH124" i="1"/>
  <c r="CV124" i="1" s="1"/>
  <c r="AI124" i="1"/>
  <c r="CW124" i="1"/>
  <c r="AJ124" i="1"/>
  <c r="CX124" i="1" s="1"/>
  <c r="CQ124" i="1"/>
  <c r="FR124" i="1"/>
  <c r="GL124" i="1"/>
  <c r="GN124" i="1"/>
  <c r="GO124" i="1"/>
  <c r="Q125" i="1"/>
  <c r="K212" i="5" s="1"/>
  <c r="J213" i="5" s="1"/>
  <c r="P213" i="5" s="1"/>
  <c r="AC125" i="1"/>
  <c r="AD125" i="1"/>
  <c r="I212" i="5" s="1"/>
  <c r="AA213" i="5" s="1"/>
  <c r="AE125" i="1"/>
  <c r="U211" i="5" s="1"/>
  <c r="AF125" i="1"/>
  <c r="AG125" i="1"/>
  <c r="CU125" i="1" s="1"/>
  <c r="T125" i="1" s="1"/>
  <c r="AH125" i="1"/>
  <c r="CV125" i="1" s="1"/>
  <c r="U125" i="1" s="1"/>
  <c r="AI125" i="1"/>
  <c r="AJ125" i="1"/>
  <c r="CX125" i="1" s="1"/>
  <c r="W125" i="1" s="1"/>
  <c r="CR125" i="1"/>
  <c r="CS125" i="1"/>
  <c r="V211" i="5" s="1"/>
  <c r="CT125" i="1"/>
  <c r="S125" i="1"/>
  <c r="CW125" i="1"/>
  <c r="V125" i="1" s="1"/>
  <c r="FR125" i="1"/>
  <c r="GL125" i="1"/>
  <c r="GN125" i="1"/>
  <c r="GO125" i="1"/>
  <c r="I126" i="1"/>
  <c r="AC126" i="1"/>
  <c r="CQ126" i="1" s="1"/>
  <c r="AD126" i="1"/>
  <c r="CR126" i="1" s="1"/>
  <c r="AE126" i="1"/>
  <c r="AF126" i="1"/>
  <c r="Q214" i="5" s="1"/>
  <c r="AG126" i="1"/>
  <c r="CU126" i="1" s="1"/>
  <c r="T126" i="1" s="1"/>
  <c r="AH126" i="1"/>
  <c r="AI126" i="1"/>
  <c r="CW126" i="1" s="1"/>
  <c r="V126" i="1" s="1"/>
  <c r="AJ126" i="1"/>
  <c r="CX126" i="1" s="1"/>
  <c r="W126" i="1" s="1"/>
  <c r="CS126" i="1"/>
  <c r="CT126" i="1"/>
  <c r="CV126" i="1"/>
  <c r="FR126" i="1"/>
  <c r="GL126" i="1"/>
  <c r="GN126" i="1"/>
  <c r="GO126" i="1"/>
  <c r="B128" i="1"/>
  <c r="B112" i="1"/>
  <c r="C128" i="1"/>
  <c r="C112" i="1" s="1"/>
  <c r="D128" i="1"/>
  <c r="D112" i="1" s="1"/>
  <c r="F128" i="1"/>
  <c r="F112" i="1" s="1"/>
  <c r="G128" i="1"/>
  <c r="G112" i="1"/>
  <c r="BB128" i="1"/>
  <c r="AO128" i="1" s="1"/>
  <c r="D154" i="1"/>
  <c r="E156" i="1"/>
  <c r="Z156" i="1"/>
  <c r="AA156" i="1"/>
  <c r="AM156" i="1"/>
  <c r="AN156" i="1"/>
  <c r="BA156" i="1"/>
  <c r="BN156" i="1"/>
  <c r="BO156" i="1"/>
  <c r="BP156" i="1"/>
  <c r="BQ156" i="1"/>
  <c r="BR156" i="1"/>
  <c r="BS156" i="1"/>
  <c r="BT156" i="1"/>
  <c r="BU156" i="1"/>
  <c r="BV156" i="1"/>
  <c r="BW156" i="1"/>
  <c r="BX156" i="1"/>
  <c r="BY156" i="1"/>
  <c r="BZ156" i="1"/>
  <c r="CA156" i="1"/>
  <c r="CB156" i="1"/>
  <c r="CC156" i="1"/>
  <c r="CD156" i="1"/>
  <c r="CE156" i="1"/>
  <c r="CF156" i="1"/>
  <c r="CG156" i="1"/>
  <c r="CH156" i="1"/>
  <c r="CI156" i="1"/>
  <c r="CJ156" i="1"/>
  <c r="CK156" i="1"/>
  <c r="CL156" i="1"/>
  <c r="CM156" i="1"/>
  <c r="CN156" i="1"/>
  <c r="CO156" i="1"/>
  <c r="CP156" i="1"/>
  <c r="CQ156" i="1"/>
  <c r="CR156" i="1"/>
  <c r="CS156" i="1"/>
  <c r="CT156" i="1"/>
  <c r="CU156" i="1"/>
  <c r="CV156" i="1"/>
  <c r="CW156" i="1"/>
  <c r="CX156" i="1"/>
  <c r="CY156" i="1"/>
  <c r="CZ156" i="1"/>
  <c r="DA156" i="1"/>
  <c r="DB156" i="1"/>
  <c r="DC156" i="1"/>
  <c r="DD156" i="1"/>
  <c r="DE156" i="1"/>
  <c r="DF156" i="1"/>
  <c r="DG156" i="1"/>
  <c r="DH156" i="1"/>
  <c r="DI156" i="1"/>
  <c r="DJ156" i="1"/>
  <c r="DK156" i="1"/>
  <c r="DL156" i="1"/>
  <c r="DM156" i="1"/>
  <c r="DN156" i="1"/>
  <c r="AC158" i="1"/>
  <c r="I226" i="5" s="1"/>
  <c r="AD158" i="1"/>
  <c r="I225" i="5" s="1"/>
  <c r="CR158" i="1"/>
  <c r="Q158" i="1" s="1"/>
  <c r="K225" i="5" s="1"/>
  <c r="AE158" i="1"/>
  <c r="U222" i="5" s="1"/>
  <c r="CS158" i="1"/>
  <c r="V222" i="5" s="1"/>
  <c r="AF158" i="1"/>
  <c r="CT158" i="1" s="1"/>
  <c r="S158" i="1" s="1"/>
  <c r="AG158" i="1"/>
  <c r="CU158" i="1" s="1"/>
  <c r="T158" i="1" s="1"/>
  <c r="AH158" i="1"/>
  <c r="CV158" i="1" s="1"/>
  <c r="U158" i="1" s="1"/>
  <c r="AI158" i="1"/>
  <c r="CW158" i="1" s="1"/>
  <c r="V158" i="1"/>
  <c r="AJ158" i="1"/>
  <c r="CX158" i="1" s="1"/>
  <c r="W158" i="1" s="1"/>
  <c r="FR158" i="1"/>
  <c r="GL158" i="1"/>
  <c r="GO158" i="1"/>
  <c r="GP158" i="1"/>
  <c r="C159" i="1"/>
  <c r="AC159" i="1"/>
  <c r="AD159" i="1"/>
  <c r="AE159" i="1"/>
  <c r="U231" i="5" s="1"/>
  <c r="CS159" i="1"/>
  <c r="AF159" i="1"/>
  <c r="CT159" i="1" s="1"/>
  <c r="S159" i="1" s="1"/>
  <c r="AG159" i="1"/>
  <c r="AH159" i="1"/>
  <c r="AI159" i="1"/>
  <c r="CW159" i="1"/>
  <c r="V159" i="1" s="1"/>
  <c r="AJ159" i="1"/>
  <c r="CX159" i="1" s="1"/>
  <c r="W159" i="1" s="1"/>
  <c r="CU159" i="1"/>
  <c r="T159" i="1" s="1"/>
  <c r="CV159" i="1"/>
  <c r="U159" i="1" s="1"/>
  <c r="FR159" i="1"/>
  <c r="GL159" i="1"/>
  <c r="GO159" i="1"/>
  <c r="GP159" i="1"/>
  <c r="I160" i="1"/>
  <c r="AC160" i="1"/>
  <c r="AD160" i="1"/>
  <c r="CR160" i="1" s="1"/>
  <c r="AE160" i="1"/>
  <c r="AF160" i="1"/>
  <c r="AB160" i="1" s="1"/>
  <c r="AG160" i="1"/>
  <c r="AH160" i="1"/>
  <c r="CV160" i="1" s="1"/>
  <c r="U160" i="1"/>
  <c r="AI160" i="1"/>
  <c r="AJ160" i="1"/>
  <c r="CX160" i="1" s="1"/>
  <c r="CS160" i="1"/>
  <c r="CU160" i="1"/>
  <c r="T160" i="1"/>
  <c r="CW160" i="1"/>
  <c r="FR160" i="1"/>
  <c r="GL160" i="1"/>
  <c r="BD177" i="1" s="1"/>
  <c r="GO160" i="1"/>
  <c r="GP160" i="1"/>
  <c r="I161" i="1"/>
  <c r="E238" i="5" s="1"/>
  <c r="AC161" i="1"/>
  <c r="AD161" i="1"/>
  <c r="CR161" i="1"/>
  <c r="Q161" i="1" s="1"/>
  <c r="AE161" i="1"/>
  <c r="AF161" i="1"/>
  <c r="AG161" i="1"/>
  <c r="CU161" i="1" s="1"/>
  <c r="T161" i="1" s="1"/>
  <c r="AH161" i="1"/>
  <c r="CV161" i="1" s="1"/>
  <c r="U161" i="1" s="1"/>
  <c r="AI161" i="1"/>
  <c r="CW161" i="1" s="1"/>
  <c r="V161" i="1"/>
  <c r="AJ161" i="1"/>
  <c r="CX161" i="1" s="1"/>
  <c r="W161" i="1" s="1"/>
  <c r="CT161" i="1"/>
  <c r="S161" i="1" s="1"/>
  <c r="FR161" i="1"/>
  <c r="GL161" i="1"/>
  <c r="GO161" i="1"/>
  <c r="GP161" i="1"/>
  <c r="AC162" i="1"/>
  <c r="AD162" i="1"/>
  <c r="I245" i="5" s="1"/>
  <c r="CR162" i="1"/>
  <c r="Q162" i="1" s="1"/>
  <c r="K245" i="5" s="1"/>
  <c r="AE162" i="1"/>
  <c r="U242" i="5" s="1"/>
  <c r="CS162" i="1"/>
  <c r="AF162" i="1"/>
  <c r="CT162" i="1" s="1"/>
  <c r="S162" i="1" s="1"/>
  <c r="K244" i="5" s="1"/>
  <c r="AG162" i="1"/>
  <c r="CU162" i="1" s="1"/>
  <c r="T162" i="1" s="1"/>
  <c r="AH162" i="1"/>
  <c r="CV162" i="1" s="1"/>
  <c r="U162" i="1" s="1"/>
  <c r="AI162" i="1"/>
  <c r="CW162" i="1"/>
  <c r="V162" i="1" s="1"/>
  <c r="AJ162" i="1"/>
  <c r="CX162" i="1"/>
  <c r="W162" i="1" s="1"/>
  <c r="FR162" i="1"/>
  <c r="GL162" i="1"/>
  <c r="GO162" i="1"/>
  <c r="GP162" i="1"/>
  <c r="AC163" i="1"/>
  <c r="AD163" i="1"/>
  <c r="AE163" i="1"/>
  <c r="U251" i="5" s="1"/>
  <c r="AF163" i="1"/>
  <c r="AG163" i="1"/>
  <c r="CU163" i="1"/>
  <c r="T163" i="1" s="1"/>
  <c r="AH163" i="1"/>
  <c r="CV163" i="1" s="1"/>
  <c r="U163" i="1" s="1"/>
  <c r="AI163" i="1"/>
  <c r="CW163" i="1" s="1"/>
  <c r="V163" i="1" s="1"/>
  <c r="AJ163" i="1"/>
  <c r="CX163" i="1" s="1"/>
  <c r="W163" i="1" s="1"/>
  <c r="FR163" i="1"/>
  <c r="GL163" i="1"/>
  <c r="GO163" i="1"/>
  <c r="GP163" i="1"/>
  <c r="C164" i="1"/>
  <c r="D164" i="1"/>
  <c r="Q164" i="1"/>
  <c r="K263" i="5" s="1"/>
  <c r="AC164" i="1"/>
  <c r="AD164" i="1"/>
  <c r="I263" i="5" s="1"/>
  <c r="AE164" i="1"/>
  <c r="AF164" i="1"/>
  <c r="CT164" i="1" s="1"/>
  <c r="S164" i="1" s="1"/>
  <c r="AG164" i="1"/>
  <c r="CU164" i="1" s="1"/>
  <c r="T164" i="1" s="1"/>
  <c r="AH164" i="1"/>
  <c r="CV164" i="1" s="1"/>
  <c r="U164" i="1" s="1"/>
  <c r="AI164" i="1"/>
  <c r="CW164" i="1" s="1"/>
  <c r="V164" i="1" s="1"/>
  <c r="AJ164" i="1"/>
  <c r="CX164" i="1" s="1"/>
  <c r="W164" i="1" s="1"/>
  <c r="CR164" i="1"/>
  <c r="FR164" i="1"/>
  <c r="GL164" i="1"/>
  <c r="GO164" i="1"/>
  <c r="GP164" i="1"/>
  <c r="I165" i="1"/>
  <c r="W165" i="1" s="1"/>
  <c r="AC165" i="1"/>
  <c r="AD165" i="1"/>
  <c r="CR165" i="1"/>
  <c r="Q165" i="1" s="1"/>
  <c r="AE165" i="1"/>
  <c r="AF165" i="1"/>
  <c r="AG165" i="1"/>
  <c r="CU165" i="1"/>
  <c r="AH165" i="1"/>
  <c r="CV165" i="1" s="1"/>
  <c r="U165" i="1" s="1"/>
  <c r="AI165" i="1"/>
  <c r="CW165" i="1" s="1"/>
  <c r="AJ165" i="1"/>
  <c r="CX165" i="1" s="1"/>
  <c r="FR165" i="1"/>
  <c r="GL165" i="1"/>
  <c r="GO165" i="1"/>
  <c r="GP165" i="1"/>
  <c r="I166" i="1"/>
  <c r="E267" i="5" s="1"/>
  <c r="AC166" i="1"/>
  <c r="CQ166" i="1" s="1"/>
  <c r="AD166" i="1"/>
  <c r="CR166" i="1" s="1"/>
  <c r="AE166" i="1"/>
  <c r="CS166" i="1"/>
  <c r="AF166" i="1"/>
  <c r="CT166" i="1" s="1"/>
  <c r="S166" i="1" s="1"/>
  <c r="AG166" i="1"/>
  <c r="CU166" i="1" s="1"/>
  <c r="AH166" i="1"/>
  <c r="CV166" i="1" s="1"/>
  <c r="AI166" i="1"/>
  <c r="CW166" i="1" s="1"/>
  <c r="V166" i="1" s="1"/>
  <c r="AJ166" i="1"/>
  <c r="CX166" i="1"/>
  <c r="W166" i="1" s="1"/>
  <c r="FR166" i="1"/>
  <c r="GL166" i="1"/>
  <c r="GO166" i="1"/>
  <c r="GP166" i="1"/>
  <c r="C167" i="1"/>
  <c r="AC167" i="1"/>
  <c r="AD167" i="1"/>
  <c r="AE167" i="1"/>
  <c r="AF167" i="1"/>
  <c r="CT167" i="1"/>
  <c r="S167" i="1" s="1"/>
  <c r="CY167" i="1" s="1"/>
  <c r="X167" i="1" s="1"/>
  <c r="R271" i="5" s="1"/>
  <c r="AG167" i="1"/>
  <c r="AH167" i="1"/>
  <c r="CV167" i="1" s="1"/>
  <c r="U167" i="1" s="1"/>
  <c r="AI167" i="1"/>
  <c r="CW167" i="1" s="1"/>
  <c r="V167" i="1" s="1"/>
  <c r="AJ167" i="1"/>
  <c r="CX167" i="1" s="1"/>
  <c r="W167" i="1" s="1"/>
  <c r="CU167" i="1"/>
  <c r="T167" i="1" s="1"/>
  <c r="FR167" i="1"/>
  <c r="GL167" i="1"/>
  <c r="GO167" i="1"/>
  <c r="GP167" i="1"/>
  <c r="I168" i="1"/>
  <c r="E277" i="5" s="1"/>
  <c r="AC168" i="1"/>
  <c r="CQ168" i="1" s="1"/>
  <c r="P168" i="1" s="1"/>
  <c r="FR168" i="1" s="1"/>
  <c r="AD168" i="1"/>
  <c r="CR168" i="1" s="1"/>
  <c r="Q168" i="1" s="1"/>
  <c r="AE168" i="1"/>
  <c r="U277" i="5" s="1"/>
  <c r="AF168" i="1"/>
  <c r="CT168" i="1" s="1"/>
  <c r="S168" i="1" s="1"/>
  <c r="CY168" i="1" s="1"/>
  <c r="X168" i="1" s="1"/>
  <c r="R277" i="5" s="1"/>
  <c r="AG168" i="1"/>
  <c r="CU168" i="1" s="1"/>
  <c r="T168" i="1" s="1"/>
  <c r="AH168" i="1"/>
  <c r="CV168" i="1" s="1"/>
  <c r="U168" i="1" s="1"/>
  <c r="AI168" i="1"/>
  <c r="CW168" i="1" s="1"/>
  <c r="V168" i="1" s="1"/>
  <c r="AJ168" i="1"/>
  <c r="CX168" i="1" s="1"/>
  <c r="W168" i="1" s="1"/>
  <c r="GL168" i="1"/>
  <c r="GN168" i="1"/>
  <c r="GO168" i="1"/>
  <c r="GP168" i="1"/>
  <c r="C169" i="1"/>
  <c r="D169" i="1"/>
  <c r="I169" i="1"/>
  <c r="I170" i="1" s="1"/>
  <c r="S170" i="1" s="1"/>
  <c r="AC169" i="1"/>
  <c r="AD169" i="1"/>
  <c r="CR169" i="1"/>
  <c r="Q169" i="1" s="1"/>
  <c r="K285" i="5" s="1"/>
  <c r="AE169" i="1"/>
  <c r="AF169" i="1"/>
  <c r="CT169" i="1" s="1"/>
  <c r="S169" i="1" s="1"/>
  <c r="AG169" i="1"/>
  <c r="AH169" i="1"/>
  <c r="AI169" i="1"/>
  <c r="CW169" i="1" s="1"/>
  <c r="V169" i="1" s="1"/>
  <c r="AJ169" i="1"/>
  <c r="CX169" i="1"/>
  <c r="W169" i="1" s="1"/>
  <c r="CQ169" i="1"/>
  <c r="P169" i="1" s="1"/>
  <c r="K286" i="5" s="1"/>
  <c r="CS169" i="1"/>
  <c r="R169" i="1"/>
  <c r="GK169" i="1" s="1"/>
  <c r="CU169" i="1"/>
  <c r="T169" i="1" s="1"/>
  <c r="CV169" i="1"/>
  <c r="U169" i="1"/>
  <c r="FR169" i="1"/>
  <c r="GL169" i="1"/>
  <c r="GO169" i="1"/>
  <c r="GP169" i="1"/>
  <c r="AC170" i="1"/>
  <c r="AD170" i="1"/>
  <c r="AE170" i="1"/>
  <c r="CS170" i="1" s="1"/>
  <c r="AF170" i="1"/>
  <c r="CT170" i="1" s="1"/>
  <c r="AG170" i="1"/>
  <c r="CU170" i="1" s="1"/>
  <c r="AH170" i="1"/>
  <c r="CV170" i="1" s="1"/>
  <c r="AI170" i="1"/>
  <c r="AJ170" i="1"/>
  <c r="CX170" i="1" s="1"/>
  <c r="CR170" i="1"/>
  <c r="CW170" i="1"/>
  <c r="FR170" i="1"/>
  <c r="GL170" i="1"/>
  <c r="GO170" i="1"/>
  <c r="GP170" i="1"/>
  <c r="C171" i="1"/>
  <c r="D171" i="1"/>
  <c r="I172" i="1"/>
  <c r="AC171" i="1"/>
  <c r="AD171" i="1"/>
  <c r="I295" i="5" s="1"/>
  <c r="AE171" i="1"/>
  <c r="AF171" i="1"/>
  <c r="CT171" i="1"/>
  <c r="S171" i="1" s="1"/>
  <c r="K294" i="5" s="1"/>
  <c r="AG171" i="1"/>
  <c r="AH171" i="1"/>
  <c r="CV171" i="1" s="1"/>
  <c r="U171" i="1"/>
  <c r="I300" i="5" s="1"/>
  <c r="AI171" i="1"/>
  <c r="CW171" i="1"/>
  <c r="V171" i="1" s="1"/>
  <c r="AJ171" i="1"/>
  <c r="CX171" i="1"/>
  <c r="W171" i="1" s="1"/>
  <c r="CU171" i="1"/>
  <c r="T171" i="1" s="1"/>
  <c r="FR171" i="1"/>
  <c r="GL171" i="1"/>
  <c r="GO171" i="1"/>
  <c r="GP171" i="1"/>
  <c r="AC172" i="1"/>
  <c r="CQ172" i="1" s="1"/>
  <c r="P172" i="1" s="1"/>
  <c r="AD172" i="1"/>
  <c r="AE172" i="1"/>
  <c r="CS172" i="1" s="1"/>
  <c r="R172" i="1" s="1"/>
  <c r="GK172" i="1" s="1"/>
  <c r="AF172" i="1"/>
  <c r="CT172" i="1" s="1"/>
  <c r="AG172" i="1"/>
  <c r="CU172" i="1"/>
  <c r="T172" i="1" s="1"/>
  <c r="AH172" i="1"/>
  <c r="AI172" i="1"/>
  <c r="CW172" i="1" s="1"/>
  <c r="AJ172" i="1"/>
  <c r="CX172" i="1"/>
  <c r="CR172" i="1"/>
  <c r="CV172" i="1"/>
  <c r="U172" i="1" s="1"/>
  <c r="FR172" i="1"/>
  <c r="GL172" i="1"/>
  <c r="GN172" i="1"/>
  <c r="GO172" i="1"/>
  <c r="AC173" i="1"/>
  <c r="CQ173" i="1"/>
  <c r="AD173" i="1"/>
  <c r="CR173" i="1" s="1"/>
  <c r="AE173" i="1"/>
  <c r="AF173" i="1"/>
  <c r="CT173" i="1" s="1"/>
  <c r="AG173" i="1"/>
  <c r="CU173" i="1" s="1"/>
  <c r="AH173" i="1"/>
  <c r="CV173" i="1" s="1"/>
  <c r="AI173" i="1"/>
  <c r="CW173" i="1" s="1"/>
  <c r="AJ173" i="1"/>
  <c r="CS173" i="1"/>
  <c r="CX173" i="1"/>
  <c r="W173" i="1" s="1"/>
  <c r="FR173" i="1"/>
  <c r="GL173" i="1"/>
  <c r="GN173" i="1"/>
  <c r="GO173" i="1"/>
  <c r="AC174" i="1"/>
  <c r="CQ174" i="1" s="1"/>
  <c r="P174" i="1" s="1"/>
  <c r="AD174" i="1"/>
  <c r="I311" i="5" s="1"/>
  <c r="AA312" i="5" s="1"/>
  <c r="AE174" i="1"/>
  <c r="U310" i="5" s="1"/>
  <c r="CS174" i="1"/>
  <c r="V310" i="5" s="1"/>
  <c r="AF174" i="1"/>
  <c r="AG174" i="1"/>
  <c r="AH174" i="1"/>
  <c r="CV174" i="1" s="1"/>
  <c r="U174" i="1" s="1"/>
  <c r="AI174" i="1"/>
  <c r="AJ174" i="1"/>
  <c r="CX174" i="1"/>
  <c r="W174" i="1"/>
  <c r="CR174" i="1"/>
  <c r="Q174" i="1" s="1"/>
  <c r="K311" i="5" s="1"/>
  <c r="J312" i="5" s="1"/>
  <c r="P312" i="5" s="1"/>
  <c r="CU174" i="1"/>
  <c r="T174" i="1" s="1"/>
  <c r="CW174" i="1"/>
  <c r="V174" i="1" s="1"/>
  <c r="FR174" i="1"/>
  <c r="GL174" i="1"/>
  <c r="GN174" i="1"/>
  <c r="GO174" i="1"/>
  <c r="I175" i="1"/>
  <c r="AC175" i="1"/>
  <c r="CQ175" i="1"/>
  <c r="AD175" i="1"/>
  <c r="CR175" i="1" s="1"/>
  <c r="AE175" i="1"/>
  <c r="U313" i="5" s="1"/>
  <c r="AF175" i="1"/>
  <c r="AG175" i="1"/>
  <c r="CU175" i="1" s="1"/>
  <c r="AH175" i="1"/>
  <c r="CV175" i="1" s="1"/>
  <c r="AI175" i="1"/>
  <c r="CW175" i="1"/>
  <c r="AJ175" i="1"/>
  <c r="CS175" i="1"/>
  <c r="V313" i="5" s="1"/>
  <c r="CT175" i="1"/>
  <c r="CX175" i="1"/>
  <c r="FR175" i="1"/>
  <c r="GL175" i="1"/>
  <c r="GN175" i="1"/>
  <c r="GO175" i="1"/>
  <c r="B177" i="1"/>
  <c r="B156" i="1" s="1"/>
  <c r="C177" i="1"/>
  <c r="C156" i="1" s="1"/>
  <c r="D177" i="1"/>
  <c r="D156" i="1" s="1"/>
  <c r="F177" i="1"/>
  <c r="F156" i="1" s="1"/>
  <c r="G177" i="1"/>
  <c r="G156" i="1"/>
  <c r="AO177" i="1"/>
  <c r="AO156" i="1" s="1"/>
  <c r="BB177" i="1"/>
  <c r="BB156" i="1" s="1"/>
  <c r="D203" i="1"/>
  <c r="E205" i="1"/>
  <c r="Z205" i="1"/>
  <c r="AA205" i="1"/>
  <c r="AM205" i="1"/>
  <c r="AN205" i="1"/>
  <c r="BA205" i="1"/>
  <c r="BN205" i="1"/>
  <c r="BO205" i="1"/>
  <c r="BP205" i="1"/>
  <c r="BQ205" i="1"/>
  <c r="BR205" i="1"/>
  <c r="BS205" i="1"/>
  <c r="BT205" i="1"/>
  <c r="BU205" i="1"/>
  <c r="BV205" i="1"/>
  <c r="BW205" i="1"/>
  <c r="BX205" i="1"/>
  <c r="BY205" i="1"/>
  <c r="BZ205" i="1"/>
  <c r="CA205" i="1"/>
  <c r="CB205" i="1"/>
  <c r="CC205" i="1"/>
  <c r="CD205" i="1"/>
  <c r="CE205" i="1"/>
  <c r="CF205" i="1"/>
  <c r="CG205" i="1"/>
  <c r="CH205" i="1"/>
  <c r="CI205" i="1"/>
  <c r="CJ205" i="1"/>
  <c r="CK205" i="1"/>
  <c r="CL205" i="1"/>
  <c r="CM205" i="1"/>
  <c r="CN205" i="1"/>
  <c r="CO205" i="1"/>
  <c r="CP205" i="1"/>
  <c r="CQ205" i="1"/>
  <c r="CR205" i="1"/>
  <c r="CS205" i="1"/>
  <c r="CT205" i="1"/>
  <c r="CU205" i="1"/>
  <c r="CV205" i="1"/>
  <c r="CW205" i="1"/>
  <c r="CX205" i="1"/>
  <c r="CY205" i="1"/>
  <c r="CZ205" i="1"/>
  <c r="DA205" i="1"/>
  <c r="DB205" i="1"/>
  <c r="DC205" i="1"/>
  <c r="DD205" i="1"/>
  <c r="DE205" i="1"/>
  <c r="DF205" i="1"/>
  <c r="DG205" i="1"/>
  <c r="DH205" i="1"/>
  <c r="DI205" i="1"/>
  <c r="DJ205" i="1"/>
  <c r="DK205" i="1"/>
  <c r="DL205" i="1"/>
  <c r="DM205" i="1"/>
  <c r="DN205" i="1"/>
  <c r="C207" i="1"/>
  <c r="D207" i="1"/>
  <c r="I207" i="1"/>
  <c r="CX61" i="3" s="1"/>
  <c r="AC207" i="1"/>
  <c r="AB207" i="1"/>
  <c r="AD207" i="1"/>
  <c r="AE207" i="1"/>
  <c r="CS207" i="1" s="1"/>
  <c r="AF207" i="1"/>
  <c r="AG207" i="1"/>
  <c r="CU207" i="1" s="1"/>
  <c r="T207" i="1" s="1"/>
  <c r="AH207" i="1"/>
  <c r="CV207" i="1"/>
  <c r="U207" i="1" s="1"/>
  <c r="I329" i="5" s="1"/>
  <c r="AI207" i="1"/>
  <c r="CW207" i="1"/>
  <c r="V207" i="1" s="1"/>
  <c r="AJ207" i="1"/>
  <c r="CX207" i="1" s="1"/>
  <c r="CR207" i="1"/>
  <c r="Q207" i="1" s="1"/>
  <c r="K324" i="5" s="1"/>
  <c r="CT207" i="1"/>
  <c r="S207" i="1"/>
  <c r="FR207" i="1"/>
  <c r="GL207" i="1"/>
  <c r="GO207" i="1"/>
  <c r="GP207" i="1"/>
  <c r="C208" i="1"/>
  <c r="D208" i="1"/>
  <c r="I208" i="1"/>
  <c r="AC208" i="1"/>
  <c r="AD208" i="1"/>
  <c r="CR208" i="1"/>
  <c r="AE208" i="1"/>
  <c r="CS208" i="1" s="1"/>
  <c r="AF208" i="1"/>
  <c r="AG208" i="1"/>
  <c r="AH208" i="1"/>
  <c r="CV208" i="1"/>
  <c r="U208" i="1" s="1"/>
  <c r="I339" i="5" s="1"/>
  <c r="AI208" i="1"/>
  <c r="CW208" i="1" s="1"/>
  <c r="AJ208" i="1"/>
  <c r="CT208" i="1"/>
  <c r="S208" i="1" s="1"/>
  <c r="CU208" i="1"/>
  <c r="CX208" i="1"/>
  <c r="FR208" i="1"/>
  <c r="GL208" i="1"/>
  <c r="GO208" i="1"/>
  <c r="GP208" i="1"/>
  <c r="C209" i="1"/>
  <c r="D209" i="1"/>
  <c r="I209" i="1"/>
  <c r="CX100" i="3" s="1"/>
  <c r="W209" i="1"/>
  <c r="AC209" i="1"/>
  <c r="CQ209" i="1" s="1"/>
  <c r="P209" i="1" s="1"/>
  <c r="AD209" i="1"/>
  <c r="AE209" i="1"/>
  <c r="AF209" i="1"/>
  <c r="AG209" i="1"/>
  <c r="CU209" i="1" s="1"/>
  <c r="T209" i="1"/>
  <c r="AH209" i="1"/>
  <c r="AI209" i="1"/>
  <c r="CW209" i="1" s="1"/>
  <c r="V209" i="1" s="1"/>
  <c r="AJ209" i="1"/>
  <c r="CX209" i="1" s="1"/>
  <c r="CR209" i="1"/>
  <c r="CS209" i="1"/>
  <c r="CV209" i="1"/>
  <c r="U209" i="1" s="1"/>
  <c r="I346" i="5" s="1"/>
  <c r="FR209" i="1"/>
  <c r="GL209" i="1"/>
  <c r="GO209" i="1"/>
  <c r="GP209" i="1"/>
  <c r="C210" i="1"/>
  <c r="D210" i="1"/>
  <c r="I210" i="1"/>
  <c r="CX101" i="3" s="1"/>
  <c r="AC210" i="1"/>
  <c r="AB210" i="1" s="1"/>
  <c r="AD210" i="1"/>
  <c r="AE210" i="1"/>
  <c r="AF210" i="1"/>
  <c r="AG210" i="1"/>
  <c r="CU210" i="1" s="1"/>
  <c r="T210" i="1" s="1"/>
  <c r="AH210" i="1"/>
  <c r="AI210" i="1"/>
  <c r="CW210" i="1" s="1"/>
  <c r="AJ210" i="1"/>
  <c r="CX210" i="1" s="1"/>
  <c r="W210" i="1" s="1"/>
  <c r="CQ210" i="1"/>
  <c r="P210" i="1" s="1"/>
  <c r="CR210" i="1"/>
  <c r="CV210" i="1"/>
  <c r="FR210" i="1"/>
  <c r="GL210" i="1"/>
  <c r="GO210" i="1"/>
  <c r="GP210" i="1"/>
  <c r="C211" i="1"/>
  <c r="D211" i="1"/>
  <c r="I211" i="1"/>
  <c r="AC211" i="1"/>
  <c r="CQ211" i="1" s="1"/>
  <c r="P211" i="1" s="1"/>
  <c r="AD211" i="1"/>
  <c r="CR211" i="1"/>
  <c r="Q211" i="1" s="1"/>
  <c r="K361" i="5" s="1"/>
  <c r="AE211" i="1"/>
  <c r="CS211" i="1" s="1"/>
  <c r="V358" i="5" s="1"/>
  <c r="K365" i="5" s="1"/>
  <c r="R211" i="1"/>
  <c r="AF211" i="1"/>
  <c r="CT211" i="1" s="1"/>
  <c r="S211" i="1"/>
  <c r="CY211" i="1" s="1"/>
  <c r="X211" i="1" s="1"/>
  <c r="R358" i="5" s="1"/>
  <c r="K363" i="5" s="1"/>
  <c r="AG211" i="1"/>
  <c r="AH211" i="1"/>
  <c r="CV211" i="1" s="1"/>
  <c r="U211" i="1" s="1"/>
  <c r="I366" i="5" s="1"/>
  <c r="AI211" i="1"/>
  <c r="CW211" i="1"/>
  <c r="V211" i="1" s="1"/>
  <c r="AJ211" i="1"/>
  <c r="CX211" i="1" s="1"/>
  <c r="W211" i="1" s="1"/>
  <c r="CU211" i="1"/>
  <c r="T211" i="1" s="1"/>
  <c r="FR211" i="1"/>
  <c r="GL211" i="1"/>
  <c r="GO211" i="1"/>
  <c r="GP211" i="1"/>
  <c r="C212" i="1"/>
  <c r="D212" i="1"/>
  <c r="I212" i="1"/>
  <c r="CX122" i="3" s="1"/>
  <c r="AC212" i="1"/>
  <c r="AD212" i="1"/>
  <c r="CR212" i="1"/>
  <c r="Q212" i="1" s="1"/>
  <c r="K370" i="5" s="1"/>
  <c r="AE212" i="1"/>
  <c r="CS212" i="1" s="1"/>
  <c r="V368" i="5" s="1"/>
  <c r="K372" i="5" s="1"/>
  <c r="AF212" i="1"/>
  <c r="CT212" i="1" s="1"/>
  <c r="S212" i="1" s="1"/>
  <c r="AG212" i="1"/>
  <c r="AH212" i="1"/>
  <c r="CV212" i="1" s="1"/>
  <c r="U212" i="1" s="1"/>
  <c r="AI212" i="1"/>
  <c r="CW212" i="1"/>
  <c r="V212" i="1" s="1"/>
  <c r="AJ212" i="1"/>
  <c r="CX212" i="1" s="1"/>
  <c r="CU212" i="1"/>
  <c r="T212" i="1" s="1"/>
  <c r="FR212" i="1"/>
  <c r="GL212" i="1"/>
  <c r="GO212" i="1"/>
  <c r="GP212" i="1"/>
  <c r="AC213" i="1"/>
  <c r="CQ213" i="1" s="1"/>
  <c r="AD213" i="1"/>
  <c r="AE213" i="1"/>
  <c r="AF213" i="1"/>
  <c r="CT213" i="1" s="1"/>
  <c r="AG213" i="1"/>
  <c r="CU213" i="1" s="1"/>
  <c r="AH213" i="1"/>
  <c r="CV213" i="1" s="1"/>
  <c r="AI213" i="1"/>
  <c r="CW213" i="1" s="1"/>
  <c r="AJ213" i="1"/>
  <c r="CX213" i="1" s="1"/>
  <c r="CS213" i="1"/>
  <c r="FR213" i="1"/>
  <c r="GL213" i="1"/>
  <c r="GN213" i="1"/>
  <c r="GO213" i="1"/>
  <c r="I214" i="1"/>
  <c r="AC214" i="1"/>
  <c r="CQ214" i="1" s="1"/>
  <c r="AD214" i="1"/>
  <c r="CR214" i="1"/>
  <c r="Q214" i="1" s="1"/>
  <c r="K379" i="5" s="1"/>
  <c r="J380" i="5" s="1"/>
  <c r="P380" i="5" s="1"/>
  <c r="AE214" i="1"/>
  <c r="AF214" i="1"/>
  <c r="AG214" i="1"/>
  <c r="CU214" i="1"/>
  <c r="T214" i="1" s="1"/>
  <c r="AH214" i="1"/>
  <c r="CV214" i="1" s="1"/>
  <c r="U214" i="1" s="1"/>
  <c r="AI214" i="1"/>
  <c r="CW214" i="1"/>
  <c r="AJ214" i="1"/>
  <c r="CX214" i="1" s="1"/>
  <c r="W214" i="1" s="1"/>
  <c r="FR214" i="1"/>
  <c r="GL214" i="1"/>
  <c r="GN214" i="1"/>
  <c r="GO214" i="1"/>
  <c r="B216" i="1"/>
  <c r="B205" i="1"/>
  <c r="C216" i="1"/>
  <c r="C205" i="1" s="1"/>
  <c r="D216" i="1"/>
  <c r="D205" i="1"/>
  <c r="F216" i="1"/>
  <c r="F205" i="1" s="1"/>
  <c r="G216" i="1"/>
  <c r="G205" i="1" s="1"/>
  <c r="BB216" i="1"/>
  <c r="BB205" i="1" s="1"/>
  <c r="B242" i="1"/>
  <c r="B22" i="1" s="1"/>
  <c r="C242" i="1"/>
  <c r="C22" i="1" s="1"/>
  <c r="D242" i="1"/>
  <c r="D22" i="1" s="1"/>
  <c r="F242" i="1"/>
  <c r="F22" i="1" s="1"/>
  <c r="G242" i="1"/>
  <c r="AF385" i="5" s="1"/>
  <c r="B268" i="1"/>
  <c r="B18" i="1" s="1"/>
  <c r="C268" i="1"/>
  <c r="C18" i="1" s="1"/>
  <c r="D268" i="1"/>
  <c r="D18" i="1" s="1"/>
  <c r="F268" i="1"/>
  <c r="F18" i="1" s="1"/>
  <c r="G268" i="1"/>
  <c r="G18" i="1" s="1"/>
  <c r="CY207" i="1"/>
  <c r="X207" i="1" s="1"/>
  <c r="CY161" i="1"/>
  <c r="X161" i="1" s="1"/>
  <c r="R238" i="5" s="1"/>
  <c r="CZ161" i="1"/>
  <c r="Y161" i="1" s="1"/>
  <c r="T238" i="5" s="1"/>
  <c r="CT174" i="1"/>
  <c r="S174" i="1" s="1"/>
  <c r="CZ174" i="1" s="1"/>
  <c r="Y174" i="1" s="1"/>
  <c r="T310" i="5" s="1"/>
  <c r="U118" i="1"/>
  <c r="AB175" i="1"/>
  <c r="AB166" i="1"/>
  <c r="CQ207" i="1"/>
  <c r="P207" i="1" s="1"/>
  <c r="CQ162" i="1"/>
  <c r="P162" i="1" s="1"/>
  <c r="K246" i="5" s="1"/>
  <c r="AB172" i="1"/>
  <c r="CQ160" i="1"/>
  <c r="P160" i="1" s="1"/>
  <c r="CQ122" i="1"/>
  <c r="P122" i="1" s="1"/>
  <c r="CP122" i="1" s="1"/>
  <c r="O122" i="1" s="1"/>
  <c r="AB122" i="1"/>
  <c r="CX112" i="3"/>
  <c r="CX115" i="3"/>
  <c r="CX113" i="3"/>
  <c r="CX114" i="3"/>
  <c r="CX108" i="3"/>
  <c r="CX109" i="3"/>
  <c r="W172" i="1"/>
  <c r="CY122" i="1"/>
  <c r="X122" i="1" s="1"/>
  <c r="R193" i="5" s="1"/>
  <c r="K198" i="5" s="1"/>
  <c r="S118" i="1"/>
  <c r="CY118" i="1" s="1"/>
  <c r="CY158" i="1"/>
  <c r="X158" i="1" s="1"/>
  <c r="R222" i="5" s="1"/>
  <c r="CQ125" i="1"/>
  <c r="P125" i="1" s="1"/>
  <c r="CP125" i="1" s="1"/>
  <c r="O125" i="1" s="1"/>
  <c r="AB125" i="1"/>
  <c r="BD128" i="1"/>
  <c r="AB214" i="1"/>
  <c r="W160" i="1"/>
  <c r="CR159" i="1"/>
  <c r="Q159" i="1"/>
  <c r="K234" i="5" s="1"/>
  <c r="CX103" i="3"/>
  <c r="F181" i="1"/>
  <c r="CR171" i="1"/>
  <c r="Q171" i="1" s="1"/>
  <c r="K295" i="5" s="1"/>
  <c r="CX91" i="3"/>
  <c r="CX90" i="3"/>
  <c r="CZ125" i="1"/>
  <c r="Y125" i="1" s="1"/>
  <c r="T211" i="5" s="1"/>
  <c r="CY125" i="1"/>
  <c r="X125" i="1" s="1"/>
  <c r="R211" i="5" s="1"/>
  <c r="CY120" i="1"/>
  <c r="X120" i="1"/>
  <c r="R182" i="5" s="1"/>
  <c r="CZ120" i="1"/>
  <c r="Y120" i="1" s="1"/>
  <c r="T182" i="5" s="1"/>
  <c r="AB167" i="1"/>
  <c r="R126" i="1"/>
  <c r="GK126" i="1" s="1"/>
  <c r="CZ35" i="1"/>
  <c r="Y35" i="1" s="1"/>
  <c r="T51" i="5" s="1"/>
  <c r="CY35" i="1"/>
  <c r="X35" i="1" s="1"/>
  <c r="R51" i="5" s="1"/>
  <c r="CY29" i="1"/>
  <c r="X29" i="1" s="1"/>
  <c r="R29" i="5" s="1"/>
  <c r="CZ29" i="1"/>
  <c r="Y29" i="1" s="1"/>
  <c r="T29" i="5" s="1"/>
  <c r="BD84" i="1"/>
  <c r="BK84" i="1" s="1"/>
  <c r="BK70" i="1" s="1"/>
  <c r="T118" i="1"/>
  <c r="CR117" i="1"/>
  <c r="Q117" i="1" s="1"/>
  <c r="AB117" i="1"/>
  <c r="CX28" i="3"/>
  <c r="CX27" i="3"/>
  <c r="AB124" i="1"/>
  <c r="CR119" i="1"/>
  <c r="Q119" i="1" s="1"/>
  <c r="CZ78" i="1"/>
  <c r="Y78" i="1" s="1"/>
  <c r="T118" i="5" s="1"/>
  <c r="K124" i="5" s="1"/>
  <c r="CY78" i="1"/>
  <c r="X78" i="1" s="1"/>
  <c r="R118" i="5" s="1"/>
  <c r="K123" i="5" s="1"/>
  <c r="R123" i="1"/>
  <c r="GK123" i="1" s="1"/>
  <c r="W118" i="1"/>
  <c r="CR115" i="1"/>
  <c r="Q115" i="1" s="1"/>
  <c r="K158" i="5" s="1"/>
  <c r="AB115" i="1"/>
  <c r="CQ73" i="1"/>
  <c r="P73" i="1"/>
  <c r="CX59" i="3"/>
  <c r="CX58" i="3"/>
  <c r="CX60" i="3"/>
  <c r="V118" i="1"/>
  <c r="CZ114" i="1"/>
  <c r="Y114" i="1" s="1"/>
  <c r="T147" i="5" s="1"/>
  <c r="K153" i="5" s="1"/>
  <c r="CZ82" i="1"/>
  <c r="Y82" i="1" s="1"/>
  <c r="T139" i="5" s="1"/>
  <c r="R32" i="1"/>
  <c r="GK32" i="1" s="1"/>
  <c r="CQ121" i="1"/>
  <c r="AB121" i="1"/>
  <c r="T78" i="1"/>
  <c r="CZ72" i="1"/>
  <c r="Y72" i="1" s="1"/>
  <c r="T86" i="5" s="1"/>
  <c r="CY72" i="1"/>
  <c r="X72" i="1" s="1"/>
  <c r="CY40" i="1"/>
  <c r="X40" i="1" s="1"/>
  <c r="R78" i="5" s="1"/>
  <c r="CX71" i="3"/>
  <c r="CX64" i="3"/>
  <c r="CX76" i="3"/>
  <c r="CX69" i="3"/>
  <c r="CX62" i="3"/>
  <c r="CX74" i="3"/>
  <c r="CX67" i="3"/>
  <c r="CX79" i="3"/>
  <c r="CX65" i="3"/>
  <c r="CX77" i="3"/>
  <c r="CX70" i="3"/>
  <c r="CX63" i="3"/>
  <c r="CX75" i="3"/>
  <c r="CX68" i="3"/>
  <c r="CX80" i="3"/>
  <c r="CX66" i="3"/>
  <c r="CX78" i="3"/>
  <c r="CX72" i="3"/>
  <c r="CX73" i="3"/>
  <c r="AB126" i="1"/>
  <c r="Q118" i="1"/>
  <c r="I79" i="1"/>
  <c r="P79" i="1" s="1"/>
  <c r="AB81" i="1"/>
  <c r="W36" i="1"/>
  <c r="AB33" i="1"/>
  <c r="U32" i="1"/>
  <c r="CX50" i="3"/>
  <c r="CX51" i="3"/>
  <c r="BB112" i="1"/>
  <c r="U120" i="1"/>
  <c r="AO84" i="1"/>
  <c r="U79" i="1"/>
  <c r="CQ35" i="1"/>
  <c r="P35" i="1" s="1"/>
  <c r="CP35" i="1" s="1"/>
  <c r="O35" i="1" s="1"/>
  <c r="AB35" i="1"/>
  <c r="T32" i="1"/>
  <c r="T79" i="1"/>
  <c r="AB82" i="1"/>
  <c r="AB114" i="1"/>
  <c r="CX35" i="3"/>
  <c r="CX40" i="3"/>
  <c r="CX33" i="3"/>
  <c r="CX38" i="3"/>
  <c r="CX31" i="3"/>
  <c r="CX43" i="3"/>
  <c r="CX41" i="3"/>
  <c r="CX34" i="3"/>
  <c r="CX39" i="3"/>
  <c r="CX32" i="3"/>
  <c r="CX44" i="3"/>
  <c r="CX30" i="3"/>
  <c r="CX42" i="3"/>
  <c r="W78" i="1"/>
  <c r="CQ76" i="1"/>
  <c r="P76" i="1" s="1"/>
  <c r="K112" i="5" s="1"/>
  <c r="AB76" i="1"/>
  <c r="AB39" i="1"/>
  <c r="T36" i="1"/>
  <c r="AB36" i="1"/>
  <c r="Q32" i="1"/>
  <c r="V78" i="1"/>
  <c r="CY76" i="1"/>
  <c r="X76" i="1" s="1"/>
  <c r="R107" i="5" s="1"/>
  <c r="CZ76" i="1"/>
  <c r="Y76" i="1" s="1"/>
  <c r="T107" i="5" s="1"/>
  <c r="P32" i="1"/>
  <c r="CX49" i="3"/>
  <c r="CP72" i="1"/>
  <c r="O72" i="1" s="1"/>
  <c r="R36" i="1"/>
  <c r="K61" i="5" s="1"/>
  <c r="GK36" i="1"/>
  <c r="W32" i="1"/>
  <c r="AB32" i="1"/>
  <c r="CQ82" i="1"/>
  <c r="P82" i="1" s="1"/>
  <c r="CP82" i="1" s="1"/>
  <c r="O82" i="1" s="1"/>
  <c r="AB72" i="1"/>
  <c r="CQ40" i="1"/>
  <c r="P40" i="1" s="1"/>
  <c r="I37" i="1"/>
  <c r="V37" i="1" s="1"/>
  <c r="CX19" i="3"/>
  <c r="CX20" i="3"/>
  <c r="CX18" i="3"/>
  <c r="V32" i="1"/>
  <c r="BD42" i="1"/>
  <c r="BK42" i="1" s="1"/>
  <c r="CQ29" i="1"/>
  <c r="P29" i="1" s="1"/>
  <c r="BB26" i="1"/>
  <c r="AB75" i="1"/>
  <c r="AB38" i="1"/>
  <c r="AB31" i="1"/>
  <c r="BK128" i="1"/>
  <c r="AX128" i="1" s="1"/>
  <c r="CZ118" i="1"/>
  <c r="Y118" i="1" s="1"/>
  <c r="T169" i="5" s="1"/>
  <c r="X118" i="1"/>
  <c r="R169" i="5" s="1"/>
  <c r="CP207" i="1"/>
  <c r="O207" i="1" s="1"/>
  <c r="F88" i="1"/>
  <c r="AO70" i="1"/>
  <c r="CY174" i="1"/>
  <c r="X174" i="1" s="1"/>
  <c r="R310" i="5" s="1"/>
  <c r="Q37" i="1"/>
  <c r="K69" i="5" s="1"/>
  <c r="J70" i="5" s="1"/>
  <c r="P70" i="5" s="1"/>
  <c r="AQ42" i="1"/>
  <c r="AQ26" i="1" s="1"/>
  <c r="CP174" i="1"/>
  <c r="O174" i="1" s="1"/>
  <c r="W79" i="1"/>
  <c r="BK112" i="1"/>
  <c r="F52" i="1"/>
  <c r="AA141" i="5"/>
  <c r="H312" i="5"/>
  <c r="O312" i="5" s="1"/>
  <c r="A385" i="5"/>
  <c r="E313" i="5"/>
  <c r="Q313" i="5"/>
  <c r="Q175" i="1"/>
  <c r="K314" i="5" s="1"/>
  <c r="J315" i="5" s="1"/>
  <c r="P315" i="5" s="1"/>
  <c r="BG177" i="1"/>
  <c r="AT177" i="1" s="1"/>
  <c r="U302" i="5"/>
  <c r="C303" i="5"/>
  <c r="E302" i="5"/>
  <c r="I173" i="1"/>
  <c r="I308" i="5" s="1"/>
  <c r="I304" i="5"/>
  <c r="H305" i="5" s="1"/>
  <c r="O305" i="5" s="1"/>
  <c r="P126" i="1"/>
  <c r="U126" i="1"/>
  <c r="S214" i="5"/>
  <c r="V214" i="5"/>
  <c r="Q126" i="1"/>
  <c r="U214" i="5"/>
  <c r="I215" i="5"/>
  <c r="H216" i="5" s="1"/>
  <c r="O216" i="5" s="1"/>
  <c r="S126" i="1"/>
  <c r="E214" i="5"/>
  <c r="Q306" i="5"/>
  <c r="C307" i="5"/>
  <c r="S306" i="5"/>
  <c r="CZ126" i="1"/>
  <c r="Y126" i="1" s="1"/>
  <c r="T214" i="5" s="1"/>
  <c r="CY126" i="1"/>
  <c r="X126" i="1" s="1"/>
  <c r="R214" i="5" s="1"/>
  <c r="K215" i="5"/>
  <c r="J216" i="5" s="1"/>
  <c r="P216" i="5" s="1"/>
  <c r="AT42" i="1" l="1"/>
  <c r="BG26" i="1"/>
  <c r="K284" i="5"/>
  <c r="CZ169" i="1"/>
  <c r="Y169" i="1" s="1"/>
  <c r="T281" i="5" s="1"/>
  <c r="CP169" i="1"/>
  <c r="O169" i="1" s="1"/>
  <c r="CY169" i="1"/>
  <c r="X169" i="1" s="1"/>
  <c r="R281" i="5" s="1"/>
  <c r="K233" i="5"/>
  <c r="CY159" i="1"/>
  <c r="X159" i="1" s="1"/>
  <c r="R231" i="5" s="1"/>
  <c r="CZ159" i="1"/>
  <c r="Y159" i="1" s="1"/>
  <c r="T231" i="5" s="1"/>
  <c r="CZ37" i="1"/>
  <c r="Y37" i="1" s="1"/>
  <c r="T67" i="5" s="1"/>
  <c r="CY37" i="1"/>
  <c r="X37" i="1" s="1"/>
  <c r="R67" i="5" s="1"/>
  <c r="CP37" i="1"/>
  <c r="O37" i="1" s="1"/>
  <c r="BC26" i="1"/>
  <c r="BM42" i="1"/>
  <c r="AZ42" i="1" s="1"/>
  <c r="AP42" i="1"/>
  <c r="V321" i="5"/>
  <c r="K328" i="5" s="1"/>
  <c r="R207" i="1"/>
  <c r="CY170" i="1"/>
  <c r="X170" i="1" s="1"/>
  <c r="R288" i="5" s="1"/>
  <c r="CZ170" i="1"/>
  <c r="Y170" i="1" s="1"/>
  <c r="T288" i="5" s="1"/>
  <c r="CY166" i="1"/>
  <c r="X166" i="1" s="1"/>
  <c r="R267" i="5" s="1"/>
  <c r="CZ166" i="1"/>
  <c r="Y166" i="1" s="1"/>
  <c r="T267" i="5" s="1"/>
  <c r="BK177" i="1"/>
  <c r="BD156" i="1"/>
  <c r="AQ177" i="1"/>
  <c r="AX112" i="1"/>
  <c r="F135" i="1"/>
  <c r="CP40" i="1"/>
  <c r="O40" i="1" s="1"/>
  <c r="CP168" i="1"/>
  <c r="O168" i="1" s="1"/>
  <c r="K277" i="5" s="1"/>
  <c r="BC177" i="1"/>
  <c r="CX95" i="3"/>
  <c r="CX83" i="3"/>
  <c r="CX98" i="3"/>
  <c r="CX87" i="3"/>
  <c r="CX97" i="3"/>
  <c r="R175" i="1"/>
  <c r="GK175" i="1" s="1"/>
  <c r="CP115" i="1"/>
  <c r="O115" i="1" s="1"/>
  <c r="AQ84" i="1"/>
  <c r="AQ70" i="1" s="1"/>
  <c r="CX99" i="3"/>
  <c r="CX93" i="3"/>
  <c r="CZ162" i="1"/>
  <c r="Y162" i="1" s="1"/>
  <c r="T242" i="5" s="1"/>
  <c r="CX107" i="3"/>
  <c r="CX117" i="3"/>
  <c r="CX116" i="3"/>
  <c r="CX121" i="3"/>
  <c r="CX57" i="3"/>
  <c r="CZ168" i="1"/>
  <c r="Y168" i="1" s="1"/>
  <c r="T277" i="5" s="1"/>
  <c r="AB168" i="1"/>
  <c r="I274" i="5"/>
  <c r="CR167" i="1"/>
  <c r="Q167" i="1" s="1"/>
  <c r="K274" i="5" s="1"/>
  <c r="I255" i="5"/>
  <c r="CQ163" i="1"/>
  <c r="P163" i="1" s="1"/>
  <c r="K255" i="5" s="1"/>
  <c r="V242" i="5"/>
  <c r="R162" i="1"/>
  <c r="GK162" i="1" s="1"/>
  <c r="I246" i="5"/>
  <c r="AB162" i="1"/>
  <c r="K195" i="5"/>
  <c r="CZ122" i="1"/>
  <c r="Y122" i="1" s="1"/>
  <c r="T193" i="5" s="1"/>
  <c r="K199" i="5" s="1"/>
  <c r="S121" i="1"/>
  <c r="I60" i="5"/>
  <c r="CR36" i="1"/>
  <c r="Q36" i="1" s="1"/>
  <c r="K60" i="5" s="1"/>
  <c r="I50" i="5"/>
  <c r="AB34" i="1"/>
  <c r="K323" i="5"/>
  <c r="CZ207" i="1"/>
  <c r="Y207" i="1" s="1"/>
  <c r="U271" i="5"/>
  <c r="CS167" i="1"/>
  <c r="I238" i="5"/>
  <c r="X238" i="5" s="1"/>
  <c r="AB161" i="1"/>
  <c r="P121" i="1"/>
  <c r="CX96" i="3"/>
  <c r="CX94" i="3"/>
  <c r="CX81" i="3"/>
  <c r="CQ161" i="1"/>
  <c r="P161" i="1" s="1"/>
  <c r="CP161" i="1" s="1"/>
  <c r="O161" i="1" s="1"/>
  <c r="CY162" i="1"/>
  <c r="X162" i="1" s="1"/>
  <c r="R242" i="5" s="1"/>
  <c r="W208" i="1"/>
  <c r="W170" i="1"/>
  <c r="AJ177" i="1" s="1"/>
  <c r="AB170" i="1"/>
  <c r="CQ170" i="1"/>
  <c r="P170" i="1" s="1"/>
  <c r="CP170" i="1" s="1"/>
  <c r="O170" i="1" s="1"/>
  <c r="U136" i="5"/>
  <c r="CS81" i="1"/>
  <c r="V136" i="5" s="1"/>
  <c r="V118" i="5"/>
  <c r="K125" i="5" s="1"/>
  <c r="BC84" i="1"/>
  <c r="I38" i="5"/>
  <c r="CR33" i="1"/>
  <c r="Q33" i="1" s="1"/>
  <c r="K38" i="5" s="1"/>
  <c r="W31" i="1"/>
  <c r="S31" i="5"/>
  <c r="CQ171" i="1"/>
  <c r="P171" i="1" s="1"/>
  <c r="CP171" i="1" s="1"/>
  <c r="O171" i="1" s="1"/>
  <c r="AB171" i="1"/>
  <c r="E189" i="5"/>
  <c r="Q121" i="1"/>
  <c r="I165" i="5"/>
  <c r="CR116" i="1"/>
  <c r="Q116" i="1" s="1"/>
  <c r="K165" i="5" s="1"/>
  <c r="V157" i="5"/>
  <c r="K160" i="5" s="1"/>
  <c r="J161" i="5" s="1"/>
  <c r="P161" i="5" s="1"/>
  <c r="R115" i="1"/>
  <c r="K159" i="5" s="1"/>
  <c r="CQ77" i="1"/>
  <c r="AB77" i="1"/>
  <c r="I79" i="5"/>
  <c r="AA80" i="5" s="1"/>
  <c r="CR40" i="1"/>
  <c r="Q40" i="1" s="1"/>
  <c r="K79" i="5" s="1"/>
  <c r="J80" i="5" s="1"/>
  <c r="P80" i="5" s="1"/>
  <c r="R173" i="1"/>
  <c r="GK173" i="1" s="1"/>
  <c r="S302" i="5"/>
  <c r="CY171" i="1"/>
  <c r="X171" i="1" s="1"/>
  <c r="R292" i="5" s="1"/>
  <c r="K297" i="5" s="1"/>
  <c r="P175" i="1"/>
  <c r="Q173" i="1"/>
  <c r="K308" i="5" s="1"/>
  <c r="J309" i="5" s="1"/>
  <c r="P309" i="5" s="1"/>
  <c r="T173" i="1"/>
  <c r="CP126" i="1"/>
  <c r="O126" i="1" s="1"/>
  <c r="GM126" i="1" s="1"/>
  <c r="S313" i="5"/>
  <c r="S175" i="1"/>
  <c r="V175" i="1"/>
  <c r="U37" i="1"/>
  <c r="AB29" i="1"/>
  <c r="AB40" i="1"/>
  <c r="AB211" i="1"/>
  <c r="P173" i="1"/>
  <c r="U306" i="5"/>
  <c r="E306" i="5"/>
  <c r="Q302" i="5"/>
  <c r="W175" i="1"/>
  <c r="I314" i="5"/>
  <c r="H315" i="5" s="1"/>
  <c r="O315" i="5" s="1"/>
  <c r="R37" i="1"/>
  <c r="GK37" i="1" s="1"/>
  <c r="I38" i="1"/>
  <c r="C72" i="5" s="1"/>
  <c r="AB73" i="1"/>
  <c r="CX85" i="3"/>
  <c r="CX89" i="3"/>
  <c r="CX88" i="3"/>
  <c r="CX118" i="3"/>
  <c r="CX119" i="3"/>
  <c r="CZ171" i="1"/>
  <c r="Y171" i="1" s="1"/>
  <c r="T292" i="5" s="1"/>
  <c r="K298" i="5" s="1"/>
  <c r="V214" i="1"/>
  <c r="T208" i="1"/>
  <c r="W207" i="1"/>
  <c r="R174" i="1"/>
  <c r="GK174" i="1" s="1"/>
  <c r="GM174" i="1" s="1"/>
  <c r="I285" i="5"/>
  <c r="AB169" i="1"/>
  <c r="P166" i="1"/>
  <c r="U260" i="5"/>
  <c r="CS164" i="1"/>
  <c r="R164" i="1" s="1"/>
  <c r="GK164" i="1" s="1"/>
  <c r="E237" i="5"/>
  <c r="V160" i="1"/>
  <c r="I234" i="5"/>
  <c r="AB159" i="1"/>
  <c r="I177" i="5"/>
  <c r="CQ119" i="1"/>
  <c r="P119" i="1" s="1"/>
  <c r="K177" i="5" s="1"/>
  <c r="AB119" i="1"/>
  <c r="I40" i="5"/>
  <c r="CQ33" i="1"/>
  <c r="P33" i="1" s="1"/>
  <c r="K40" i="5" s="1"/>
  <c r="P214" i="1"/>
  <c r="W212" i="1"/>
  <c r="V281" i="5"/>
  <c r="U281" i="5"/>
  <c r="I286" i="5"/>
  <c r="CS168" i="1"/>
  <c r="U166" i="1"/>
  <c r="Q160" i="1"/>
  <c r="V231" i="5"/>
  <c r="R159" i="1"/>
  <c r="GK159" i="1" s="1"/>
  <c r="V122" i="1"/>
  <c r="V121" i="1"/>
  <c r="U121" i="1"/>
  <c r="U182" i="5"/>
  <c r="CS120" i="1"/>
  <c r="V182" i="5" s="1"/>
  <c r="I121" i="5"/>
  <c r="CR78" i="1"/>
  <c r="Q78" i="1" s="1"/>
  <c r="K121" i="5" s="1"/>
  <c r="I100" i="5"/>
  <c r="CS75" i="1"/>
  <c r="V97" i="5" s="1"/>
  <c r="K104" i="5" s="1"/>
  <c r="W74" i="1"/>
  <c r="U74" i="1"/>
  <c r="S93" i="5"/>
  <c r="W40" i="1"/>
  <c r="Q78" i="5"/>
  <c r="I59" i="5"/>
  <c r="CT36" i="1"/>
  <c r="S36" i="1" s="1"/>
  <c r="W47" i="5"/>
  <c r="CT34" i="1"/>
  <c r="S34" i="1" s="1"/>
  <c r="U31" i="1"/>
  <c r="Q31" i="1"/>
  <c r="CS30" i="1"/>
  <c r="C293" i="5"/>
  <c r="E292" i="5"/>
  <c r="T166" i="1"/>
  <c r="Q166" i="1"/>
  <c r="I264" i="5"/>
  <c r="CQ164" i="1"/>
  <c r="P164" i="1" s="1"/>
  <c r="K264" i="5" s="1"/>
  <c r="AB164" i="1"/>
  <c r="I254" i="5"/>
  <c r="CR163" i="1"/>
  <c r="Q163" i="1" s="1"/>
  <c r="K254" i="5" s="1"/>
  <c r="I186" i="5"/>
  <c r="CR120" i="1"/>
  <c r="Q120" i="1" s="1"/>
  <c r="K186" i="5" s="1"/>
  <c r="U173" i="5"/>
  <c r="CS119" i="1"/>
  <c r="V173" i="5" s="1"/>
  <c r="U169" i="5"/>
  <c r="CS118" i="1"/>
  <c r="U168" i="5"/>
  <c r="CS117" i="1"/>
  <c r="CQ78" i="1"/>
  <c r="P78" i="1" s="1"/>
  <c r="CP78" i="1" s="1"/>
  <c r="O78" i="1" s="1"/>
  <c r="AB78" i="1"/>
  <c r="V93" i="5"/>
  <c r="R74" i="1"/>
  <c r="GK74" i="1" s="1"/>
  <c r="AF82" i="5"/>
  <c r="G26" i="1"/>
  <c r="I76" i="5"/>
  <c r="AA77" i="5" s="1"/>
  <c r="CR39" i="1"/>
  <c r="Q39" i="1" s="1"/>
  <c r="K76" i="5" s="1"/>
  <c r="J77" i="5" s="1"/>
  <c r="P77" i="5" s="1"/>
  <c r="V51" i="5"/>
  <c r="R35" i="1"/>
  <c r="GK35" i="1" s="1"/>
  <c r="P31" i="1"/>
  <c r="I13" i="5"/>
  <c r="V123" i="1"/>
  <c r="P123" i="1"/>
  <c r="U189" i="5"/>
  <c r="CQ120" i="1"/>
  <c r="P120" i="1" s="1"/>
  <c r="BC128" i="1"/>
  <c r="CQ116" i="1"/>
  <c r="P116" i="1" s="1"/>
  <c r="R76" i="1"/>
  <c r="GK76" i="1" s="1"/>
  <c r="P74" i="1"/>
  <c r="W73" i="1"/>
  <c r="V40" i="1"/>
  <c r="U78" i="5"/>
  <c r="P36" i="1"/>
  <c r="CP36" i="1" s="1"/>
  <c r="O36" i="1" s="1"/>
  <c r="U32" i="5"/>
  <c r="I32" i="5"/>
  <c r="X32" i="5" s="1"/>
  <c r="V31" i="1"/>
  <c r="I31" i="5"/>
  <c r="X31" i="5" s="1"/>
  <c r="Q30" i="1"/>
  <c r="U267" i="5"/>
  <c r="U237" i="5"/>
  <c r="I189" i="5"/>
  <c r="X189" i="5" s="1"/>
  <c r="BG128" i="1"/>
  <c r="U92" i="5"/>
  <c r="CS40" i="1"/>
  <c r="V78" i="5" s="1"/>
  <c r="T40" i="1"/>
  <c r="V57" i="5"/>
  <c r="K64" i="5" s="1"/>
  <c r="T31" i="1"/>
  <c r="S30" i="5"/>
  <c r="V29" i="1"/>
  <c r="I29" i="5"/>
  <c r="X29" i="5" s="1"/>
  <c r="AA315" i="5"/>
  <c r="J250" i="5"/>
  <c r="P250" i="5" s="1"/>
  <c r="H138" i="5"/>
  <c r="O138" i="5" s="1"/>
  <c r="H213" i="5"/>
  <c r="O213" i="5" s="1"/>
  <c r="J373" i="5"/>
  <c r="P373" i="5" s="1"/>
  <c r="K243" i="5"/>
  <c r="J127" i="5"/>
  <c r="P127" i="5" s="1"/>
  <c r="H80" i="5"/>
  <c r="O80" i="5" s="1"/>
  <c r="AT156" i="1"/>
  <c r="F193" i="1"/>
  <c r="GP126" i="1"/>
  <c r="BK156" i="1"/>
  <c r="AX177" i="1"/>
  <c r="AA309" i="5"/>
  <c r="H309" i="5"/>
  <c r="O309" i="5" s="1"/>
  <c r="AA216" i="5"/>
  <c r="U173" i="1"/>
  <c r="V306" i="5"/>
  <c r="V173" i="1"/>
  <c r="S173" i="1"/>
  <c r="AA305" i="5"/>
  <c r="BG156" i="1"/>
  <c r="CP175" i="1"/>
  <c r="O175" i="1" s="1"/>
  <c r="AX84" i="1"/>
  <c r="R86" i="5"/>
  <c r="K238" i="5"/>
  <c r="GM169" i="1"/>
  <c r="GN169" i="1"/>
  <c r="F53" i="1"/>
  <c r="AZ26" i="1"/>
  <c r="CP29" i="1"/>
  <c r="O29" i="1" s="1"/>
  <c r="BK26" i="1"/>
  <c r="AX42" i="1"/>
  <c r="K51" i="5"/>
  <c r="GN35" i="1"/>
  <c r="GM35" i="1"/>
  <c r="K176" i="5"/>
  <c r="CP119" i="1"/>
  <c r="O119" i="1" s="1"/>
  <c r="CZ212" i="1"/>
  <c r="Y212" i="1" s="1"/>
  <c r="T368" i="5" s="1"/>
  <c r="CY212" i="1"/>
  <c r="X212" i="1" s="1"/>
  <c r="R368" i="5" s="1"/>
  <c r="W38" i="1"/>
  <c r="F94" i="1"/>
  <c r="BD26" i="1"/>
  <c r="W37" i="1"/>
  <c r="AJ42" i="1" s="1"/>
  <c r="T37" i="1"/>
  <c r="BD70" i="1"/>
  <c r="CP76" i="1"/>
  <c r="O76" i="1" s="1"/>
  <c r="V79" i="1"/>
  <c r="CX102" i="3"/>
  <c r="CX105" i="3"/>
  <c r="BD112" i="1"/>
  <c r="AQ128" i="1"/>
  <c r="AB174" i="1"/>
  <c r="R321" i="5"/>
  <c r="K326" i="5" s="1"/>
  <c r="S377" i="5"/>
  <c r="Q377" i="5"/>
  <c r="CT214" i="1"/>
  <c r="S214" i="1" s="1"/>
  <c r="AB213" i="1"/>
  <c r="CR213" i="1"/>
  <c r="R212" i="1"/>
  <c r="CQ212" i="1"/>
  <c r="P212" i="1" s="1"/>
  <c r="CP212" i="1" s="1"/>
  <c r="O212" i="1" s="1"/>
  <c r="AB212" i="1"/>
  <c r="BC216" i="1"/>
  <c r="BG216" i="1"/>
  <c r="U175" i="1"/>
  <c r="Q172" i="1"/>
  <c r="K304" i="5" s="1"/>
  <c r="J305" i="5" s="1"/>
  <c r="P305" i="5" s="1"/>
  <c r="V172" i="1"/>
  <c r="I275" i="5"/>
  <c r="CQ167" i="1"/>
  <c r="P167" i="1" s="1"/>
  <c r="K224" i="5"/>
  <c r="CZ158" i="1"/>
  <c r="Y158" i="1" s="1"/>
  <c r="BM26" i="1"/>
  <c r="E128" i="5"/>
  <c r="C129" i="5"/>
  <c r="I80" i="1"/>
  <c r="R79" i="1"/>
  <c r="GK79" i="1" s="1"/>
  <c r="CX104" i="3"/>
  <c r="U377" i="5"/>
  <c r="CS214" i="1"/>
  <c r="K362" i="5"/>
  <c r="GK211" i="1"/>
  <c r="CP211" i="1"/>
  <c r="O211" i="1" s="1"/>
  <c r="U210" i="1"/>
  <c r="V210" i="1"/>
  <c r="BD216" i="1"/>
  <c r="W296" i="5"/>
  <c r="I296" i="5"/>
  <c r="U292" i="5"/>
  <c r="I299" i="5" s="1"/>
  <c r="CS171" i="1"/>
  <c r="E288" i="5"/>
  <c r="T170" i="1"/>
  <c r="V170" i="1"/>
  <c r="Q170" i="1"/>
  <c r="E67" i="5"/>
  <c r="C68" i="5"/>
  <c r="CP162" i="1"/>
  <c r="O162" i="1" s="1"/>
  <c r="E377" i="5"/>
  <c r="C378" i="5"/>
  <c r="Q210" i="1"/>
  <c r="K351" i="5" s="1"/>
  <c r="I350" i="5"/>
  <c r="S348" i="5"/>
  <c r="I354" i="5" s="1"/>
  <c r="W350" i="5"/>
  <c r="Q348" i="5"/>
  <c r="I353" i="5" s="1"/>
  <c r="CT210" i="1"/>
  <c r="S210" i="1" s="1"/>
  <c r="W343" i="5"/>
  <c r="S341" i="5"/>
  <c r="I345" i="5" s="1"/>
  <c r="I343" i="5"/>
  <c r="Q341" i="5"/>
  <c r="I344" i="5" s="1"/>
  <c r="CT209" i="1"/>
  <c r="S209" i="1" s="1"/>
  <c r="K333" i="5"/>
  <c r="CY208" i="1"/>
  <c r="X208" i="1" s="1"/>
  <c r="R331" i="5" s="1"/>
  <c r="K336" i="5" s="1"/>
  <c r="CZ208" i="1"/>
  <c r="Y208" i="1" s="1"/>
  <c r="T331" i="5" s="1"/>
  <c r="K337" i="5" s="1"/>
  <c r="W335" i="5"/>
  <c r="I335" i="5"/>
  <c r="U331" i="5"/>
  <c r="I338" i="5" s="1"/>
  <c r="U238" i="5"/>
  <c r="CS161" i="1"/>
  <c r="T321" i="5"/>
  <c r="K327" i="5" s="1"/>
  <c r="K360" i="5"/>
  <c r="CZ211" i="1"/>
  <c r="Y211" i="1" s="1"/>
  <c r="T358" i="5" s="1"/>
  <c r="K364" i="5" s="1"/>
  <c r="W352" i="5"/>
  <c r="I352" i="5"/>
  <c r="U348" i="5"/>
  <c r="I355" i="5" s="1"/>
  <c r="CS210" i="1"/>
  <c r="C349" i="5"/>
  <c r="E348" i="5"/>
  <c r="CX106" i="3"/>
  <c r="V341" i="5"/>
  <c r="R209" i="1"/>
  <c r="GK209" i="1" s="1"/>
  <c r="V331" i="5"/>
  <c r="K338" i="5" s="1"/>
  <c r="R208" i="1"/>
  <c r="E266" i="5"/>
  <c r="T165" i="1"/>
  <c r="CX84" i="3"/>
  <c r="CX92" i="3"/>
  <c r="CX82" i="3"/>
  <c r="CX86" i="3"/>
  <c r="CX120" i="3"/>
  <c r="CX111" i="3"/>
  <c r="CX110" i="3"/>
  <c r="G22" i="1"/>
  <c r="AF382" i="5"/>
  <c r="A382" i="5"/>
  <c r="I370" i="5"/>
  <c r="I361" i="5"/>
  <c r="Q209" i="1"/>
  <c r="U341" i="5"/>
  <c r="Q208" i="1"/>
  <c r="AB208" i="1"/>
  <c r="CQ208" i="1"/>
  <c r="P208" i="1" s="1"/>
  <c r="T175" i="1"/>
  <c r="U170" i="1"/>
  <c r="K273" i="5"/>
  <c r="CZ167" i="1"/>
  <c r="Y167" i="1" s="1"/>
  <c r="T271" i="5" s="1"/>
  <c r="CP164" i="1"/>
  <c r="O164" i="1" s="1"/>
  <c r="I235" i="5"/>
  <c r="CQ159" i="1"/>
  <c r="P159" i="1" s="1"/>
  <c r="C204" i="5"/>
  <c r="E203" i="5"/>
  <c r="S123" i="1"/>
  <c r="I124" i="1"/>
  <c r="S124" i="1" s="1"/>
  <c r="Q123" i="1"/>
  <c r="K205" i="5" s="1"/>
  <c r="J206" i="5" s="1"/>
  <c r="P206" i="5" s="1"/>
  <c r="AO216" i="1"/>
  <c r="S368" i="5"/>
  <c r="Q368" i="5"/>
  <c r="W371" i="5"/>
  <c r="U368" i="5"/>
  <c r="I372" i="5" s="1"/>
  <c r="I371" i="5"/>
  <c r="C369" i="5"/>
  <c r="E368" i="5"/>
  <c r="W360" i="5"/>
  <c r="Q358" i="5"/>
  <c r="I363" i="5" s="1"/>
  <c r="I360" i="5"/>
  <c r="S358" i="5"/>
  <c r="I364" i="5" s="1"/>
  <c r="I362" i="5"/>
  <c r="U358" i="5"/>
  <c r="I365" i="5" s="1"/>
  <c r="W362" i="5"/>
  <c r="C359" i="5"/>
  <c r="E358" i="5"/>
  <c r="I351" i="5"/>
  <c r="C342" i="5"/>
  <c r="E341" i="5"/>
  <c r="E331" i="5"/>
  <c r="C332" i="5"/>
  <c r="K325" i="5"/>
  <c r="GK207" i="1"/>
  <c r="GN207" i="1" s="1"/>
  <c r="AB173" i="1"/>
  <c r="S172" i="1"/>
  <c r="V288" i="5"/>
  <c r="R170" i="1"/>
  <c r="GK170" i="1" s="1"/>
  <c r="V277" i="5"/>
  <c r="R168" i="1"/>
  <c r="GK168" i="1" s="1"/>
  <c r="GM168" i="1" s="1"/>
  <c r="K262" i="5"/>
  <c r="CY164" i="1"/>
  <c r="X164" i="1" s="1"/>
  <c r="R260" i="5" s="1"/>
  <c r="CZ164" i="1"/>
  <c r="Y164" i="1" s="1"/>
  <c r="T260" i="5" s="1"/>
  <c r="V260" i="5"/>
  <c r="I253" i="5"/>
  <c r="W253" i="5"/>
  <c r="S251" i="5"/>
  <c r="Q251" i="5"/>
  <c r="CT163" i="1"/>
  <c r="S163" i="1" s="1"/>
  <c r="AO112" i="1"/>
  <c r="F132" i="1"/>
  <c r="I379" i="5"/>
  <c r="I213" i="1"/>
  <c r="W213" i="1" s="1"/>
  <c r="AJ216" i="1" s="1"/>
  <c r="AB209" i="1"/>
  <c r="V208" i="1"/>
  <c r="S331" i="5"/>
  <c r="I337" i="5" s="1"/>
  <c r="W333" i="5"/>
  <c r="Q331" i="5"/>
  <c r="I336" i="5" s="1"/>
  <c r="I333" i="5"/>
  <c r="V302" i="5"/>
  <c r="V267" i="5"/>
  <c r="R166" i="1"/>
  <c r="GK166" i="1" s="1"/>
  <c r="V165" i="1"/>
  <c r="AI177" i="1" s="1"/>
  <c r="S266" i="5"/>
  <c r="Q266" i="5"/>
  <c r="CT165" i="1"/>
  <c r="S165" i="1" s="1"/>
  <c r="I266" i="5"/>
  <c r="X266" i="5" s="1"/>
  <c r="AB165" i="1"/>
  <c r="CQ165" i="1"/>
  <c r="P165" i="1" s="1"/>
  <c r="CP165" i="1" s="1"/>
  <c r="O165" i="1" s="1"/>
  <c r="V237" i="5"/>
  <c r="R160" i="1"/>
  <c r="GK160" i="1" s="1"/>
  <c r="S237" i="5"/>
  <c r="Q237" i="5"/>
  <c r="CT160" i="1"/>
  <c r="S160" i="1" s="1"/>
  <c r="K175" i="5"/>
  <c r="CY119" i="1"/>
  <c r="X119" i="1" s="1"/>
  <c r="R173" i="5" s="1"/>
  <c r="CZ119" i="1"/>
  <c r="Y119" i="1" s="1"/>
  <c r="T173" i="5" s="1"/>
  <c r="CZ117" i="1"/>
  <c r="Y117" i="1" s="1"/>
  <c r="T168" i="5" s="1"/>
  <c r="CY117" i="1"/>
  <c r="X117" i="1" s="1"/>
  <c r="R168" i="5" s="1"/>
  <c r="K164" i="5"/>
  <c r="CZ116" i="1"/>
  <c r="Y116" i="1" s="1"/>
  <c r="CY116" i="1"/>
  <c r="X116" i="1" s="1"/>
  <c r="R162" i="5" s="1"/>
  <c r="I334" i="5"/>
  <c r="W323" i="5"/>
  <c r="Q321" i="5"/>
  <c r="I326" i="5" s="1"/>
  <c r="I323" i="5"/>
  <c r="S321" i="5"/>
  <c r="I327" i="5" s="1"/>
  <c r="I324" i="5"/>
  <c r="I294" i="5"/>
  <c r="S292" i="5"/>
  <c r="I298" i="5" s="1"/>
  <c r="W294" i="5"/>
  <c r="Q292" i="5"/>
  <c r="I297" i="5" s="1"/>
  <c r="K290" i="5"/>
  <c r="K287" i="5"/>
  <c r="E281" i="5"/>
  <c r="K289" i="5"/>
  <c r="I287" i="5"/>
  <c r="C282" i="5"/>
  <c r="I277" i="5"/>
  <c r="Z277" i="5" s="1"/>
  <c r="I14" i="5" s="1"/>
  <c r="CS163" i="1"/>
  <c r="R158" i="1"/>
  <c r="R125" i="1"/>
  <c r="GK125" i="1" s="1"/>
  <c r="Q211" i="5"/>
  <c r="S211" i="5"/>
  <c r="I209" i="5"/>
  <c r="Q203" i="5"/>
  <c r="S203" i="5"/>
  <c r="AB123" i="1"/>
  <c r="CS121" i="1"/>
  <c r="AB120" i="1"/>
  <c r="K191" i="5"/>
  <c r="K188" i="5"/>
  <c r="E182" i="5"/>
  <c r="K190" i="5"/>
  <c r="I188" i="5"/>
  <c r="C183" i="5"/>
  <c r="CX48" i="3"/>
  <c r="R119" i="1"/>
  <c r="GK119" i="1" s="1"/>
  <c r="CS116" i="1"/>
  <c r="GK115" i="1"/>
  <c r="GM115" i="1" s="1"/>
  <c r="I149" i="5"/>
  <c r="W149" i="5"/>
  <c r="S147" i="5"/>
  <c r="I153" i="5" s="1"/>
  <c r="Q147" i="5"/>
  <c r="I152" i="5" s="1"/>
  <c r="I150" i="5"/>
  <c r="AF143" i="5"/>
  <c r="A143" i="5"/>
  <c r="CS82" i="1"/>
  <c r="S132" i="5"/>
  <c r="Q132" i="5"/>
  <c r="CT80" i="1"/>
  <c r="S80" i="1" s="1"/>
  <c r="BG84" i="1"/>
  <c r="V77" i="1"/>
  <c r="K98" i="5"/>
  <c r="CY75" i="1"/>
  <c r="X75" i="1" s="1"/>
  <c r="R97" i="5" s="1"/>
  <c r="K102" i="5" s="1"/>
  <c r="CZ75" i="1"/>
  <c r="Y75" i="1" s="1"/>
  <c r="T97" i="5" s="1"/>
  <c r="K103" i="5" s="1"/>
  <c r="I99" i="5"/>
  <c r="CR75" i="1"/>
  <c r="Q75" i="1" s="1"/>
  <c r="CP75" i="1" s="1"/>
  <c r="O75" i="1" s="1"/>
  <c r="U86" i="5"/>
  <c r="CS72" i="1"/>
  <c r="S67" i="5"/>
  <c r="GK33" i="1"/>
  <c r="K39" i="5"/>
  <c r="V31" i="5"/>
  <c r="R31" i="1"/>
  <c r="GK31" i="1" s="1"/>
  <c r="Q207" i="5"/>
  <c r="U207" i="5"/>
  <c r="V203" i="5"/>
  <c r="S193" i="5"/>
  <c r="I199" i="5" s="1"/>
  <c r="W195" i="5"/>
  <c r="Q193" i="5"/>
  <c r="I198" i="5" s="1"/>
  <c r="I195" i="5"/>
  <c r="E193" i="5"/>
  <c r="C194" i="5"/>
  <c r="S162" i="5"/>
  <c r="I164" i="5"/>
  <c r="W164" i="5"/>
  <c r="Q162" i="5"/>
  <c r="W151" i="5"/>
  <c r="U147" i="5"/>
  <c r="I154" i="5" s="1"/>
  <c r="I151" i="5"/>
  <c r="C148" i="5"/>
  <c r="E147" i="5"/>
  <c r="CX37" i="3"/>
  <c r="S136" i="5"/>
  <c r="Q136" i="5"/>
  <c r="CT81" i="1"/>
  <c r="S81" i="1" s="1"/>
  <c r="V132" i="5"/>
  <c r="I130" i="5"/>
  <c r="CR79" i="1"/>
  <c r="Q79" i="1" s="1"/>
  <c r="K130" i="5" s="1"/>
  <c r="J131" i="5" s="1"/>
  <c r="P131" i="5" s="1"/>
  <c r="K101" i="5"/>
  <c r="S92" i="5"/>
  <c r="Q92" i="5"/>
  <c r="CT73" i="1"/>
  <c r="S73" i="1" s="1"/>
  <c r="V67" i="5"/>
  <c r="S288" i="5"/>
  <c r="Q288" i="5"/>
  <c r="S277" i="5"/>
  <c r="Q277" i="5"/>
  <c r="I267" i="5"/>
  <c r="X267" i="5" s="1"/>
  <c r="U266" i="5"/>
  <c r="W262" i="5"/>
  <c r="I262" i="5"/>
  <c r="S260" i="5"/>
  <c r="Q260" i="5"/>
  <c r="I237" i="5"/>
  <c r="X237" i="5" s="1"/>
  <c r="CQ158" i="1"/>
  <c r="P158" i="1" s="1"/>
  <c r="AB158" i="1"/>
  <c r="U203" i="5"/>
  <c r="T122" i="1"/>
  <c r="V193" i="5"/>
  <c r="K200" i="5" s="1"/>
  <c r="J202" i="5" s="1"/>
  <c r="P202" i="5" s="1"/>
  <c r="I197" i="5"/>
  <c r="U193" i="5"/>
  <c r="I200" i="5" s="1"/>
  <c r="W197" i="5"/>
  <c r="R122" i="1"/>
  <c r="Q189" i="5"/>
  <c r="S189" i="5"/>
  <c r="W185" i="5"/>
  <c r="S182" i="5"/>
  <c r="I185" i="5"/>
  <c r="Q182" i="5"/>
  <c r="W175" i="5"/>
  <c r="Q173" i="5"/>
  <c r="S173" i="5"/>
  <c r="I175" i="5"/>
  <c r="Q169" i="5"/>
  <c r="S169" i="5"/>
  <c r="AB118" i="1"/>
  <c r="CQ117" i="1"/>
  <c r="P117" i="1" s="1"/>
  <c r="CY114" i="1"/>
  <c r="X114" i="1" s="1"/>
  <c r="Q114" i="1"/>
  <c r="S128" i="5"/>
  <c r="Q128" i="5"/>
  <c r="CT79" i="1"/>
  <c r="S79" i="1" s="1"/>
  <c r="AB79" i="1"/>
  <c r="E114" i="5"/>
  <c r="R77" i="1"/>
  <c r="GK77" i="1" s="1"/>
  <c r="S77" i="1"/>
  <c r="T77" i="1"/>
  <c r="P77" i="1"/>
  <c r="I69" i="5"/>
  <c r="V29" i="5"/>
  <c r="R29" i="1"/>
  <c r="W325" i="5"/>
  <c r="I325" i="5"/>
  <c r="U321" i="5"/>
  <c r="I328" i="5" s="1"/>
  <c r="C322" i="5"/>
  <c r="E321" i="5"/>
  <c r="AF317" i="5"/>
  <c r="A317" i="5"/>
  <c r="S310" i="5"/>
  <c r="Q310" i="5"/>
  <c r="U288" i="5"/>
  <c r="I288" i="5"/>
  <c r="X288" i="5" s="1"/>
  <c r="W284" i="5"/>
  <c r="Q281" i="5"/>
  <c r="I284" i="5"/>
  <c r="S281" i="5"/>
  <c r="I273" i="5"/>
  <c r="W273" i="5"/>
  <c r="Q271" i="5"/>
  <c r="S271" i="5"/>
  <c r="S267" i="5"/>
  <c r="Q267" i="5"/>
  <c r="CS165" i="1"/>
  <c r="AB163" i="1"/>
  <c r="Q242" i="5"/>
  <c r="W244" i="5"/>
  <c r="I244" i="5"/>
  <c r="S242" i="5"/>
  <c r="S238" i="5"/>
  <c r="Q238" i="5"/>
  <c r="W233" i="5"/>
  <c r="Q231" i="5"/>
  <c r="I233" i="5"/>
  <c r="S231" i="5"/>
  <c r="I224" i="5"/>
  <c r="S222" i="5"/>
  <c r="W224" i="5"/>
  <c r="Q222" i="5"/>
  <c r="A218" i="5"/>
  <c r="AF218" i="5"/>
  <c r="I205" i="5"/>
  <c r="I196" i="5"/>
  <c r="CQ118" i="1"/>
  <c r="P118" i="1" s="1"/>
  <c r="CP118" i="1" s="1"/>
  <c r="O118" i="1" s="1"/>
  <c r="Q168" i="5"/>
  <c r="S168" i="5"/>
  <c r="AB116" i="1"/>
  <c r="S157" i="5"/>
  <c r="Q157" i="5"/>
  <c r="U157" i="5"/>
  <c r="I160" i="5" s="1"/>
  <c r="I159" i="5"/>
  <c r="W159" i="5"/>
  <c r="CS114" i="1"/>
  <c r="Q139" i="5"/>
  <c r="S139" i="5"/>
  <c r="R81" i="1"/>
  <c r="GK81" i="1" s="1"/>
  <c r="AB80" i="1"/>
  <c r="CQ80" i="1"/>
  <c r="P80" i="1" s="1"/>
  <c r="K122" i="5"/>
  <c r="GK78" i="1"/>
  <c r="GM78" i="1" s="1"/>
  <c r="AO26" i="1"/>
  <c r="F46" i="1"/>
  <c r="I134" i="5"/>
  <c r="U128" i="5"/>
  <c r="W120" i="5"/>
  <c r="Q118" i="5"/>
  <c r="I123" i="5" s="1"/>
  <c r="I120" i="5"/>
  <c r="S118" i="5"/>
  <c r="I124" i="5" s="1"/>
  <c r="W122" i="5"/>
  <c r="I122" i="5"/>
  <c r="U118" i="5"/>
  <c r="I125" i="5" s="1"/>
  <c r="V114" i="5"/>
  <c r="I114" i="5"/>
  <c r="X114" i="5" s="1"/>
  <c r="I110" i="5"/>
  <c r="W110" i="5"/>
  <c r="Q107" i="5"/>
  <c r="I111" i="5"/>
  <c r="CT33" i="1"/>
  <c r="S33" i="1" s="1"/>
  <c r="CT28" i="1"/>
  <c r="S28" i="1" s="1"/>
  <c r="CR28" i="1"/>
  <c r="Q28" i="1" s="1"/>
  <c r="U29" i="5"/>
  <c r="U31" i="5"/>
  <c r="S36" i="5"/>
  <c r="I42" i="5" s="1"/>
  <c r="V36" i="5"/>
  <c r="K43" i="5" s="1"/>
  <c r="I37" i="5"/>
  <c r="W49" i="5"/>
  <c r="Q57" i="5"/>
  <c r="I62" i="5" s="1"/>
  <c r="U57" i="5"/>
  <c r="I64" i="5" s="1"/>
  <c r="W59" i="5"/>
  <c r="I61" i="5"/>
  <c r="U67" i="5"/>
  <c r="Q75" i="5"/>
  <c r="S78" i="5"/>
  <c r="A82" i="5"/>
  <c r="U93" i="5"/>
  <c r="CR80" i="1"/>
  <c r="Q80" i="1" s="1"/>
  <c r="K134" i="5" s="1"/>
  <c r="J135" i="5" s="1"/>
  <c r="P135" i="5" s="1"/>
  <c r="S114" i="5"/>
  <c r="Q114" i="5"/>
  <c r="U114" i="5"/>
  <c r="U107" i="5"/>
  <c r="I112" i="5"/>
  <c r="I88" i="5"/>
  <c r="S86" i="5"/>
  <c r="CS39" i="1"/>
  <c r="CT39" i="1"/>
  <c r="S39" i="1" s="1"/>
  <c r="AB37" i="1"/>
  <c r="CQ34" i="1"/>
  <c r="P34" i="1" s="1"/>
  <c r="CR34" i="1"/>
  <c r="Q34" i="1" s="1"/>
  <c r="K48" i="5" s="1"/>
  <c r="CY30" i="1"/>
  <c r="X30" i="1" s="1"/>
  <c r="R30" i="5" s="1"/>
  <c r="AB30" i="1"/>
  <c r="AB28" i="1"/>
  <c r="Q23" i="5"/>
  <c r="W25" i="5"/>
  <c r="W37" i="5"/>
  <c r="I39" i="5"/>
  <c r="Q46" i="5"/>
  <c r="U46" i="5"/>
  <c r="I54" i="5" s="1"/>
  <c r="W61" i="5"/>
  <c r="V92" i="5"/>
  <c r="U97" i="5"/>
  <c r="I104" i="5" s="1"/>
  <c r="S107" i="5"/>
  <c r="CT38" i="1"/>
  <c r="CS34" i="1"/>
  <c r="CT32" i="1"/>
  <c r="S32" i="1" s="1"/>
  <c r="CT31" i="1"/>
  <c r="S31" i="1" s="1"/>
  <c r="CQ30" i="1"/>
  <c r="P30" i="1" s="1"/>
  <c r="CP30" i="1" s="1"/>
  <c r="O30" i="1" s="1"/>
  <c r="S23" i="5"/>
  <c r="V23" i="5"/>
  <c r="I27" i="5"/>
  <c r="Q29" i="5"/>
  <c r="Q30" i="5"/>
  <c r="Q31" i="5"/>
  <c r="Q32" i="5"/>
  <c r="U36" i="5"/>
  <c r="I43" i="5" s="1"/>
  <c r="I47" i="5"/>
  <c r="Q51" i="5"/>
  <c r="E57" i="5"/>
  <c r="S57" i="5"/>
  <c r="I63" i="5" s="1"/>
  <c r="Q67" i="5"/>
  <c r="W88" i="5"/>
  <c r="I90" i="5"/>
  <c r="Q93" i="5"/>
  <c r="W100" i="5"/>
  <c r="U132" i="5"/>
  <c r="V128" i="5"/>
  <c r="C119" i="5"/>
  <c r="E118" i="5"/>
  <c r="E107" i="5"/>
  <c r="K115" i="5"/>
  <c r="I113" i="5"/>
  <c r="C108" i="5"/>
  <c r="K116" i="5"/>
  <c r="K113" i="5"/>
  <c r="I98" i="5"/>
  <c r="S97" i="5"/>
  <c r="I103" i="5" s="1"/>
  <c r="W98" i="5"/>
  <c r="CT74" i="1"/>
  <c r="S74" i="1" s="1"/>
  <c r="I93" i="5"/>
  <c r="X93" i="5" s="1"/>
  <c r="I92" i="5"/>
  <c r="X92" i="5" s="1"/>
  <c r="S46" i="5"/>
  <c r="I53" i="5" s="1"/>
  <c r="Q86" i="5"/>
  <c r="Q97" i="5"/>
  <c r="I102" i="5" s="1"/>
  <c r="AJ156" i="1" l="1"/>
  <c r="W177" i="1"/>
  <c r="R40" i="1"/>
  <c r="GK40" i="1" s="1"/>
  <c r="GP40" i="1" s="1"/>
  <c r="V71" i="5"/>
  <c r="Q71" i="5"/>
  <c r="U71" i="5"/>
  <c r="R120" i="1"/>
  <c r="GK120" i="1" s="1"/>
  <c r="E71" i="5"/>
  <c r="K166" i="5"/>
  <c r="CP116" i="1"/>
  <c r="O116" i="1" s="1"/>
  <c r="V169" i="5"/>
  <c r="R118" i="1"/>
  <c r="GK118" i="1" s="1"/>
  <c r="K59" i="5"/>
  <c r="CY36" i="1"/>
  <c r="X36" i="1" s="1"/>
  <c r="CZ36" i="1"/>
  <c r="Y36" i="1" s="1"/>
  <c r="T57" i="5" s="1"/>
  <c r="K63" i="5" s="1"/>
  <c r="CP121" i="1"/>
  <c r="O121" i="1" s="1"/>
  <c r="K189" i="5" s="1"/>
  <c r="V30" i="5"/>
  <c r="R30" i="1"/>
  <c r="GK30" i="1" s="1"/>
  <c r="BC70" i="1"/>
  <c r="BM84" i="1"/>
  <c r="AP84" i="1"/>
  <c r="CZ121" i="1"/>
  <c r="Y121" i="1" s="1"/>
  <c r="T189" i="5" s="1"/>
  <c r="CY121" i="1"/>
  <c r="X121" i="1" s="1"/>
  <c r="R189" i="5" s="1"/>
  <c r="AP26" i="1"/>
  <c r="F51" i="1"/>
  <c r="GP37" i="1"/>
  <c r="AT128" i="1"/>
  <c r="BG112" i="1"/>
  <c r="AP128" i="1"/>
  <c r="BC112" i="1"/>
  <c r="BM128" i="1"/>
  <c r="CP166" i="1"/>
  <c r="O166" i="1" s="1"/>
  <c r="K267" i="5" s="1"/>
  <c r="GP174" i="1"/>
  <c r="CY175" i="1"/>
  <c r="X175" i="1" s="1"/>
  <c r="R313" i="5" s="1"/>
  <c r="CZ175" i="1"/>
  <c r="Y175" i="1" s="1"/>
  <c r="T313" i="5" s="1"/>
  <c r="BM177" i="1"/>
  <c r="AP177" i="1"/>
  <c r="BC156" i="1"/>
  <c r="U38" i="1"/>
  <c r="AH42" i="1" s="1"/>
  <c r="T38" i="1"/>
  <c r="P38" i="1"/>
  <c r="R38" i="1"/>
  <c r="GK38" i="1" s="1"/>
  <c r="V38" i="1"/>
  <c r="AI42" i="1" s="1"/>
  <c r="V271" i="5"/>
  <c r="R167" i="1"/>
  <c r="GK167" i="1" s="1"/>
  <c r="S38" i="1"/>
  <c r="I73" i="5"/>
  <c r="AA74" i="5" s="1"/>
  <c r="R75" i="1"/>
  <c r="S71" i="5"/>
  <c r="AD177" i="1"/>
  <c r="AG42" i="1"/>
  <c r="AG26" i="1" s="1"/>
  <c r="Q38" i="1"/>
  <c r="H77" i="5"/>
  <c r="O77" i="5" s="1"/>
  <c r="K187" i="5"/>
  <c r="CP120" i="1"/>
  <c r="O120" i="1" s="1"/>
  <c r="GN120" i="1" s="1"/>
  <c r="V168" i="5"/>
  <c r="R117" i="1"/>
  <c r="GK117" i="1" s="1"/>
  <c r="K47" i="5"/>
  <c r="CY34" i="1"/>
  <c r="X34" i="1" s="1"/>
  <c r="R46" i="5" s="1"/>
  <c r="K52" i="5" s="1"/>
  <c r="CZ34" i="1"/>
  <c r="Y34" i="1" s="1"/>
  <c r="T46" i="5" s="1"/>
  <c r="K53" i="5" s="1"/>
  <c r="F187" i="1"/>
  <c r="AQ156" i="1"/>
  <c r="GM37" i="1"/>
  <c r="AT26" i="1"/>
  <c r="F58" i="1"/>
  <c r="W216" i="1"/>
  <c r="AJ205" i="1"/>
  <c r="CZ124" i="1"/>
  <c r="Y124" i="1" s="1"/>
  <c r="T207" i="5" s="1"/>
  <c r="CY124" i="1"/>
  <c r="X124" i="1" s="1"/>
  <c r="R207" i="5" s="1"/>
  <c r="AI216" i="1"/>
  <c r="V46" i="5"/>
  <c r="K54" i="5" s="1"/>
  <c r="R34" i="1"/>
  <c r="X35" i="5"/>
  <c r="H35" i="5"/>
  <c r="O35" i="5" s="1"/>
  <c r="I16" i="5"/>
  <c r="CP39" i="1"/>
  <c r="O39" i="1" s="1"/>
  <c r="CY39" i="1"/>
  <c r="X39" i="1" s="1"/>
  <c r="R75" i="5" s="1"/>
  <c r="CZ39" i="1"/>
  <c r="Y39" i="1" s="1"/>
  <c r="T75" i="5" s="1"/>
  <c r="V147" i="5"/>
  <c r="K154" i="5" s="1"/>
  <c r="R114" i="1"/>
  <c r="CZ32" i="1"/>
  <c r="Y32" i="1" s="1"/>
  <c r="T32" i="5" s="1"/>
  <c r="CY32" i="1"/>
  <c r="X32" i="1" s="1"/>
  <c r="R32" i="5" s="1"/>
  <c r="I52" i="5"/>
  <c r="H56" i="5" s="1"/>
  <c r="O56" i="5" s="1"/>
  <c r="V75" i="5"/>
  <c r="R39" i="1"/>
  <c r="GK39" i="1" s="1"/>
  <c r="H66" i="5"/>
  <c r="O66" i="5" s="1"/>
  <c r="X66" i="5"/>
  <c r="K25" i="5"/>
  <c r="CZ28" i="1"/>
  <c r="Y28" i="1" s="1"/>
  <c r="CY28" i="1"/>
  <c r="X28" i="1" s="1"/>
  <c r="AF42" i="1"/>
  <c r="X127" i="5"/>
  <c r="H127" i="5"/>
  <c r="O127" i="5" s="1"/>
  <c r="AA135" i="5"/>
  <c r="H135" i="5"/>
  <c r="O135" i="5" s="1"/>
  <c r="K169" i="5"/>
  <c r="GN118" i="1"/>
  <c r="GM118" i="1"/>
  <c r="H230" i="5"/>
  <c r="O230" i="5" s="1"/>
  <c r="I223" i="5"/>
  <c r="X230" i="5"/>
  <c r="X250" i="5"/>
  <c r="I243" i="5"/>
  <c r="H250" i="5"/>
  <c r="O250" i="5" s="1"/>
  <c r="V266" i="5"/>
  <c r="R165" i="1"/>
  <c r="GK165" i="1" s="1"/>
  <c r="I283" i="5"/>
  <c r="H291" i="5"/>
  <c r="O291" i="5" s="1"/>
  <c r="X291" i="5"/>
  <c r="H70" i="5"/>
  <c r="O70" i="5" s="1"/>
  <c r="AA70" i="5"/>
  <c r="CP77" i="1"/>
  <c r="O77" i="1" s="1"/>
  <c r="AC84" i="1"/>
  <c r="H192" i="5"/>
  <c r="O192" i="5" s="1"/>
  <c r="X192" i="5"/>
  <c r="I184" i="5"/>
  <c r="S207" i="5"/>
  <c r="V86" i="5"/>
  <c r="R72" i="1"/>
  <c r="X156" i="5"/>
  <c r="H156" i="5"/>
  <c r="O156" i="5" s="1"/>
  <c r="GM125" i="1"/>
  <c r="GP125" i="1"/>
  <c r="H330" i="5"/>
  <c r="O330" i="5" s="1"/>
  <c r="X330" i="5"/>
  <c r="CZ160" i="1"/>
  <c r="Y160" i="1" s="1"/>
  <c r="T237" i="5" s="1"/>
  <c r="CY160" i="1"/>
  <c r="X160" i="1" s="1"/>
  <c r="AF177" i="1"/>
  <c r="CZ165" i="1"/>
  <c r="Y165" i="1" s="1"/>
  <c r="T266" i="5" s="1"/>
  <c r="CY165" i="1"/>
  <c r="X165" i="1" s="1"/>
  <c r="R266" i="5" s="1"/>
  <c r="GM166" i="1"/>
  <c r="GN166" i="1"/>
  <c r="H380" i="5"/>
  <c r="O380" i="5" s="1"/>
  <c r="AA380" i="5"/>
  <c r="K253" i="5"/>
  <c r="CP163" i="1"/>
  <c r="O163" i="1" s="1"/>
  <c r="CZ163" i="1"/>
  <c r="Y163" i="1" s="1"/>
  <c r="T251" i="5" s="1"/>
  <c r="CY163" i="1"/>
  <c r="X163" i="1" s="1"/>
  <c r="R251" i="5" s="1"/>
  <c r="X259" i="5"/>
  <c r="H259" i="5"/>
  <c r="O259" i="5" s="1"/>
  <c r="I252" i="5"/>
  <c r="S374" i="5"/>
  <c r="CZ123" i="1"/>
  <c r="Y123" i="1" s="1"/>
  <c r="T203" i="5" s="1"/>
  <c r="CY123" i="1"/>
  <c r="X123" i="1" s="1"/>
  <c r="R203" i="5" s="1"/>
  <c r="AF128" i="1"/>
  <c r="V207" i="5"/>
  <c r="CP208" i="1"/>
  <c r="O208" i="1" s="1"/>
  <c r="CP209" i="1"/>
  <c r="O209" i="1" s="1"/>
  <c r="K335" i="5"/>
  <c r="GK208" i="1"/>
  <c r="V348" i="5"/>
  <c r="K355" i="5" s="1"/>
  <c r="R210" i="1"/>
  <c r="CP210" i="1"/>
  <c r="O210" i="1" s="1"/>
  <c r="U213" i="1"/>
  <c r="I356" i="5"/>
  <c r="AH216" i="1"/>
  <c r="V377" i="5"/>
  <c r="R214" i="1"/>
  <c r="GK214" i="1" s="1"/>
  <c r="BG205" i="1"/>
  <c r="AT216" i="1"/>
  <c r="K371" i="5"/>
  <c r="GK212" i="1"/>
  <c r="GN212" i="1" s="1"/>
  <c r="V213" i="1"/>
  <c r="GN76" i="1"/>
  <c r="GM76" i="1"/>
  <c r="GM119" i="1"/>
  <c r="GN119" i="1"/>
  <c r="CP32" i="1"/>
  <c r="O32" i="1" s="1"/>
  <c r="GM207" i="1"/>
  <c r="CP34" i="1"/>
  <c r="O34" i="1" s="1"/>
  <c r="K50" i="5"/>
  <c r="J56" i="5" s="1"/>
  <c r="P56" i="5" s="1"/>
  <c r="K37" i="5"/>
  <c r="CZ33" i="1"/>
  <c r="Y33" i="1" s="1"/>
  <c r="T36" i="5" s="1"/>
  <c r="K42" i="5" s="1"/>
  <c r="CP33" i="1"/>
  <c r="O33" i="1" s="1"/>
  <c r="CY33" i="1"/>
  <c r="X33" i="1" s="1"/>
  <c r="R36" i="5" s="1"/>
  <c r="K41" i="5" s="1"/>
  <c r="K150" i="5"/>
  <c r="CP114" i="1"/>
  <c r="O114" i="1" s="1"/>
  <c r="K197" i="5"/>
  <c r="GK122" i="1"/>
  <c r="K226" i="5"/>
  <c r="K223" i="5" s="1"/>
  <c r="CP158" i="1"/>
  <c r="O158" i="1" s="1"/>
  <c r="AC177" i="1"/>
  <c r="I261" i="5"/>
  <c r="X270" i="5"/>
  <c r="H270" i="5"/>
  <c r="O270" i="5" s="1"/>
  <c r="I24" i="5"/>
  <c r="H131" i="5"/>
  <c r="O131" i="5" s="1"/>
  <c r="AA131" i="5"/>
  <c r="BG70" i="1"/>
  <c r="AT84" i="1"/>
  <c r="V139" i="5"/>
  <c r="R82" i="1"/>
  <c r="GK82" i="1" s="1"/>
  <c r="J192" i="5"/>
  <c r="P192" i="5" s="1"/>
  <c r="K184" i="5"/>
  <c r="V189" i="5"/>
  <c r="R121" i="1"/>
  <c r="GK121" i="1" s="1"/>
  <c r="AA210" i="5"/>
  <c r="H210" i="5"/>
  <c r="O210" i="5" s="1"/>
  <c r="GK158" i="1"/>
  <c r="H301" i="5"/>
  <c r="O301" i="5" s="1"/>
  <c r="X301" i="5"/>
  <c r="T162" i="5"/>
  <c r="AL128" i="1"/>
  <c r="K266" i="5"/>
  <c r="K261" i="5" s="1"/>
  <c r="E374" i="5"/>
  <c r="P213" i="1"/>
  <c r="AC216" i="1" s="1"/>
  <c r="R213" i="1"/>
  <c r="GK213" i="1" s="1"/>
  <c r="S213" i="1"/>
  <c r="J270" i="5"/>
  <c r="P270" i="5" s="1"/>
  <c r="X367" i="5"/>
  <c r="H367" i="5"/>
  <c r="O367" i="5" s="1"/>
  <c r="F220" i="1"/>
  <c r="AO242" i="1"/>
  <c r="AO205" i="1"/>
  <c r="K235" i="5"/>
  <c r="CP159" i="1"/>
  <c r="O159" i="1" s="1"/>
  <c r="K288" i="5"/>
  <c r="K283" i="5" s="1"/>
  <c r="GM170" i="1"/>
  <c r="GN170" i="1"/>
  <c r="K343" i="5"/>
  <c r="CZ209" i="1"/>
  <c r="Y209" i="1" s="1"/>
  <c r="T341" i="5" s="1"/>
  <c r="K345" i="5" s="1"/>
  <c r="CY209" i="1"/>
  <c r="X209" i="1" s="1"/>
  <c r="R341" i="5" s="1"/>
  <c r="K344" i="5" s="1"/>
  <c r="GN211" i="1"/>
  <c r="GM211" i="1"/>
  <c r="E132" i="5"/>
  <c r="C133" i="5"/>
  <c r="W80" i="1"/>
  <c r="AJ84" i="1" s="1"/>
  <c r="U80" i="1"/>
  <c r="AH84" i="1" s="1"/>
  <c r="V80" i="1"/>
  <c r="AI84" i="1" s="1"/>
  <c r="R80" i="1"/>
  <c r="GK80" i="1" s="1"/>
  <c r="T80" i="1"/>
  <c r="AG84" i="1" s="1"/>
  <c r="CP123" i="1"/>
  <c r="O123" i="1" s="1"/>
  <c r="K275" i="5"/>
  <c r="K272" i="5" s="1"/>
  <c r="CP167" i="1"/>
  <c r="O167" i="1" s="1"/>
  <c r="BC205" i="1"/>
  <c r="BM216" i="1"/>
  <c r="AP216" i="1"/>
  <c r="Q213" i="1"/>
  <c r="K375" i="5" s="1"/>
  <c r="J376" i="5" s="1"/>
  <c r="P376" i="5" s="1"/>
  <c r="CZ214" i="1"/>
  <c r="Y214" i="1" s="1"/>
  <c r="T377" i="5" s="1"/>
  <c r="CY214" i="1"/>
  <c r="X214" i="1" s="1"/>
  <c r="R377" i="5" s="1"/>
  <c r="J330" i="5"/>
  <c r="P330" i="5" s="1"/>
  <c r="GN115" i="1"/>
  <c r="AX26" i="1"/>
  <c r="F49" i="1"/>
  <c r="CP214" i="1"/>
  <c r="O214" i="1" s="1"/>
  <c r="AC42" i="1"/>
  <c r="X106" i="5"/>
  <c r="H106" i="5"/>
  <c r="O106" i="5" s="1"/>
  <c r="K30" i="5"/>
  <c r="GN30" i="1"/>
  <c r="GM30" i="1"/>
  <c r="CZ38" i="1"/>
  <c r="Y38" i="1" s="1"/>
  <c r="T71" i="5" s="1"/>
  <c r="CY38" i="1"/>
  <c r="X38" i="1" s="1"/>
  <c r="R71" i="5" s="1"/>
  <c r="H74" i="5"/>
  <c r="O74" i="5" s="1"/>
  <c r="H45" i="5"/>
  <c r="O45" i="5" s="1"/>
  <c r="X45" i="5"/>
  <c r="CP80" i="1"/>
  <c r="O80" i="1" s="1"/>
  <c r="H161" i="5"/>
  <c r="O161" i="5" s="1"/>
  <c r="X161" i="5"/>
  <c r="AA206" i="5"/>
  <c r="H206" i="5"/>
  <c r="O206" i="5" s="1"/>
  <c r="H241" i="5"/>
  <c r="O241" i="5" s="1"/>
  <c r="X241" i="5"/>
  <c r="I232" i="5"/>
  <c r="H280" i="5"/>
  <c r="O280" i="5" s="1"/>
  <c r="I272" i="5"/>
  <c r="X280" i="5"/>
  <c r="GK29" i="1"/>
  <c r="K100" i="5"/>
  <c r="GK75" i="1"/>
  <c r="GM75" i="1" s="1"/>
  <c r="CZ77" i="1"/>
  <c r="Y77" i="1" s="1"/>
  <c r="T114" i="5" s="1"/>
  <c r="CY77" i="1"/>
  <c r="X77" i="1" s="1"/>
  <c r="R114" i="5" s="1"/>
  <c r="CY79" i="1"/>
  <c r="X79" i="1" s="1"/>
  <c r="R128" i="5" s="1"/>
  <c r="CZ79" i="1"/>
  <c r="Y79" i="1" s="1"/>
  <c r="T128" i="5" s="1"/>
  <c r="R147" i="5"/>
  <c r="K152" i="5" s="1"/>
  <c r="GN75" i="1"/>
  <c r="H172" i="5"/>
  <c r="O172" i="5" s="1"/>
  <c r="X172" i="5"/>
  <c r="I163" i="5"/>
  <c r="X202" i="5"/>
  <c r="H202" i="5"/>
  <c r="O202" i="5" s="1"/>
  <c r="K99" i="5"/>
  <c r="AD84" i="1"/>
  <c r="J106" i="5"/>
  <c r="P106" i="5" s="1"/>
  <c r="CY80" i="1"/>
  <c r="X80" i="1" s="1"/>
  <c r="R132" i="5" s="1"/>
  <c r="CZ80" i="1"/>
  <c r="Y80" i="1" s="1"/>
  <c r="T132" i="5" s="1"/>
  <c r="V162" i="5"/>
  <c r="R116" i="1"/>
  <c r="GK116" i="1" s="1"/>
  <c r="GM116" i="1" s="1"/>
  <c r="V251" i="5"/>
  <c r="R163" i="1"/>
  <c r="GK163" i="1" s="1"/>
  <c r="U374" i="5"/>
  <c r="CY172" i="1"/>
  <c r="X172" i="1" s="1"/>
  <c r="R302" i="5" s="1"/>
  <c r="CZ172" i="1"/>
  <c r="Y172" i="1" s="1"/>
  <c r="T302" i="5" s="1"/>
  <c r="AH177" i="1"/>
  <c r="K334" i="5"/>
  <c r="J340" i="5" s="1"/>
  <c r="P340" i="5" s="1"/>
  <c r="AD216" i="1"/>
  <c r="X373" i="5"/>
  <c r="H373" i="5"/>
  <c r="O373" i="5" s="1"/>
  <c r="AG177" i="1"/>
  <c r="J367" i="5"/>
  <c r="P367" i="5" s="1"/>
  <c r="AF216" i="1"/>
  <c r="K350" i="5"/>
  <c r="CY210" i="1"/>
  <c r="X210" i="1" s="1"/>
  <c r="R348" i="5" s="1"/>
  <c r="K353" i="5" s="1"/>
  <c r="CZ210" i="1"/>
  <c r="Y210" i="1" s="1"/>
  <c r="T348" i="5" s="1"/>
  <c r="K354" i="5" s="1"/>
  <c r="H357" i="5"/>
  <c r="O357" i="5" s="1"/>
  <c r="X357" i="5"/>
  <c r="Q177" i="1"/>
  <c r="AD156" i="1"/>
  <c r="V292" i="5"/>
  <c r="K299" i="5" s="1"/>
  <c r="J301" i="5" s="1"/>
  <c r="P301" i="5" s="1"/>
  <c r="R171" i="1"/>
  <c r="AQ216" i="1"/>
  <c r="BD205" i="1"/>
  <c r="BK216" i="1"/>
  <c r="GN78" i="1"/>
  <c r="CP79" i="1"/>
  <c r="O79" i="1" s="1"/>
  <c r="K29" i="5"/>
  <c r="GM29" i="1"/>
  <c r="GN29" i="1"/>
  <c r="AX70" i="1"/>
  <c r="F91" i="1"/>
  <c r="CP173" i="1"/>
  <c r="O173" i="1" s="1"/>
  <c r="CY173" i="1"/>
  <c r="X173" i="1" s="1"/>
  <c r="R306" i="5" s="1"/>
  <c r="CZ173" i="1"/>
  <c r="Y173" i="1" s="1"/>
  <c r="T306" i="5" s="1"/>
  <c r="I109" i="5"/>
  <c r="H117" i="5"/>
  <c r="O117" i="5" s="1"/>
  <c r="X117" i="5"/>
  <c r="CP74" i="1"/>
  <c r="O74" i="1" s="1"/>
  <c r="CY74" i="1"/>
  <c r="X74" i="1" s="1"/>
  <c r="R93" i="5" s="1"/>
  <c r="CZ74" i="1"/>
  <c r="Y74" i="1" s="1"/>
  <c r="T93" i="5" s="1"/>
  <c r="CZ31" i="1"/>
  <c r="Y31" i="1" s="1"/>
  <c r="T31" i="5" s="1"/>
  <c r="CY31" i="1"/>
  <c r="X31" i="1" s="1"/>
  <c r="R31" i="5" s="1"/>
  <c r="CP31" i="1"/>
  <c r="O31" i="1" s="1"/>
  <c r="I87" i="5"/>
  <c r="H96" i="5"/>
  <c r="O96" i="5" s="1"/>
  <c r="X96" i="5"/>
  <c r="K26" i="5"/>
  <c r="CP28" i="1"/>
  <c r="O28" i="1" s="1"/>
  <c r="AD42" i="1"/>
  <c r="CP117" i="1"/>
  <c r="O117" i="1" s="1"/>
  <c r="H181" i="5"/>
  <c r="O181" i="5" s="1"/>
  <c r="I174" i="5"/>
  <c r="X181" i="5"/>
  <c r="CY73" i="1"/>
  <c r="X73" i="1" s="1"/>
  <c r="CZ73" i="1"/>
  <c r="Y73" i="1" s="1"/>
  <c r="AF84" i="1"/>
  <c r="CP73" i="1"/>
  <c r="O73" i="1" s="1"/>
  <c r="CY81" i="1"/>
  <c r="X81" i="1" s="1"/>
  <c r="R136" i="5" s="1"/>
  <c r="CP81" i="1"/>
  <c r="O81" i="1" s="1"/>
  <c r="CZ81" i="1"/>
  <c r="Y81" i="1" s="1"/>
  <c r="T136" i="5" s="1"/>
  <c r="J181" i="5"/>
  <c r="P181" i="5" s="1"/>
  <c r="K174" i="5"/>
  <c r="AI156" i="1"/>
  <c r="V177" i="1"/>
  <c r="X340" i="5"/>
  <c r="H340" i="5"/>
  <c r="O340" i="5" s="1"/>
  <c r="V374" i="5"/>
  <c r="Q374" i="5"/>
  <c r="C208" i="5"/>
  <c r="E207" i="5"/>
  <c r="Q124" i="1"/>
  <c r="K209" i="5" s="1"/>
  <c r="J210" i="5" s="1"/>
  <c r="P210" i="5" s="1"/>
  <c r="T124" i="1"/>
  <c r="AG128" i="1" s="1"/>
  <c r="W124" i="1"/>
  <c r="AJ128" i="1" s="1"/>
  <c r="U124" i="1"/>
  <c r="AH128" i="1" s="1"/>
  <c r="V124" i="1"/>
  <c r="AI128" i="1" s="1"/>
  <c r="P124" i="1"/>
  <c r="AC128" i="1" s="1"/>
  <c r="R124" i="1"/>
  <c r="GK124" i="1" s="1"/>
  <c r="GN164" i="1"/>
  <c r="GM164" i="1"/>
  <c r="T213" i="1"/>
  <c r="AG216" i="1" s="1"/>
  <c r="V238" i="5"/>
  <c r="R161" i="1"/>
  <c r="GK161" i="1" s="1"/>
  <c r="H347" i="5"/>
  <c r="O347" i="5" s="1"/>
  <c r="X347" i="5"/>
  <c r="GN162" i="1"/>
  <c r="GM162" i="1"/>
  <c r="J291" i="5"/>
  <c r="P291" i="5" s="1"/>
  <c r="T222" i="5"/>
  <c r="GM212" i="1"/>
  <c r="I375" i="5"/>
  <c r="AQ112" i="1"/>
  <c r="F138" i="1"/>
  <c r="AQ242" i="1"/>
  <c r="W42" i="1"/>
  <c r="AJ26" i="1"/>
  <c r="K73" i="5"/>
  <c r="J74" i="5" s="1"/>
  <c r="P74" i="5" s="1"/>
  <c r="CP38" i="1"/>
  <c r="O38" i="1" s="1"/>
  <c r="CP160" i="1"/>
  <c r="O160" i="1" s="1"/>
  <c r="CP172" i="1"/>
  <c r="O172" i="1" s="1"/>
  <c r="GP175" i="1"/>
  <c r="GM175" i="1"/>
  <c r="AX156" i="1"/>
  <c r="F184" i="1"/>
  <c r="V42" i="1" l="1"/>
  <c r="AI26" i="1"/>
  <c r="AH26" i="1"/>
  <c r="U42" i="1"/>
  <c r="BM112" i="1"/>
  <c r="AZ128" i="1"/>
  <c r="AT112" i="1"/>
  <c r="F144" i="1"/>
  <c r="GM120" i="1"/>
  <c r="T42" i="1"/>
  <c r="AK128" i="1"/>
  <c r="AE42" i="1"/>
  <c r="R42" i="1" s="1"/>
  <c r="GN165" i="1"/>
  <c r="R57" i="5"/>
  <c r="K62" i="5" s="1"/>
  <c r="GM36" i="1"/>
  <c r="GN36" i="1"/>
  <c r="AL177" i="1"/>
  <c r="GM40" i="1"/>
  <c r="F186" i="1"/>
  <c r="AP156" i="1"/>
  <c r="F137" i="1"/>
  <c r="AP112" i="1"/>
  <c r="AP70" i="1"/>
  <c r="F93" i="1"/>
  <c r="J66" i="5"/>
  <c r="P66" i="5" s="1"/>
  <c r="W156" i="1"/>
  <c r="F198" i="1"/>
  <c r="BM156" i="1"/>
  <c r="AZ177" i="1"/>
  <c r="BM70" i="1"/>
  <c r="AZ84" i="1"/>
  <c r="J280" i="5"/>
  <c r="P280" i="5" s="1"/>
  <c r="J45" i="5"/>
  <c r="P45" i="5" s="1"/>
  <c r="J347" i="5"/>
  <c r="P347" i="5" s="1"/>
  <c r="J230" i="5"/>
  <c r="P230" i="5" s="1"/>
  <c r="R92" i="5"/>
  <c r="AK84" i="1"/>
  <c r="GM38" i="1"/>
  <c r="GP38" i="1"/>
  <c r="F252" i="1"/>
  <c r="AQ268" i="1"/>
  <c r="AQ22" i="1"/>
  <c r="AI112" i="1"/>
  <c r="V128" i="1"/>
  <c r="AF70" i="1"/>
  <c r="S84" i="1"/>
  <c r="Q42" i="1"/>
  <c r="AD26" i="1"/>
  <c r="H143" i="5"/>
  <c r="F60" i="1"/>
  <c r="T26" i="1"/>
  <c r="F226" i="1"/>
  <c r="AQ205" i="1"/>
  <c r="Q156" i="1"/>
  <c r="F189" i="1"/>
  <c r="Q216" i="1"/>
  <c r="AD205" i="1"/>
  <c r="AK112" i="1"/>
  <c r="X128" i="1"/>
  <c r="AE26" i="1"/>
  <c r="GP80" i="1"/>
  <c r="GM80" i="1"/>
  <c r="GM214" i="1"/>
  <c r="GP214" i="1"/>
  <c r="GN167" i="1"/>
  <c r="GM167" i="1"/>
  <c r="GM159" i="1"/>
  <c r="GN159" i="1"/>
  <c r="Y128" i="1"/>
  <c r="AL112" i="1"/>
  <c r="AE177" i="1"/>
  <c r="GM121" i="1"/>
  <c r="GN121" i="1"/>
  <c r="GM82" i="1"/>
  <c r="GP82" i="1"/>
  <c r="GM33" i="1"/>
  <c r="GN33" i="1"/>
  <c r="AT205" i="1"/>
  <c r="F232" i="1"/>
  <c r="K352" i="5"/>
  <c r="GK210" i="1"/>
  <c r="AI70" i="1"/>
  <c r="V84" i="1"/>
  <c r="K114" i="5"/>
  <c r="GN77" i="1"/>
  <c r="GM77" i="1"/>
  <c r="X56" i="5"/>
  <c r="I12" i="5" s="1"/>
  <c r="GM161" i="1"/>
  <c r="GN161" i="1"/>
  <c r="U128" i="1"/>
  <c r="AH112" i="1"/>
  <c r="GM81" i="1"/>
  <c r="GP81" i="1"/>
  <c r="T92" i="5"/>
  <c r="AL84" i="1"/>
  <c r="GM28" i="1"/>
  <c r="GN28" i="1"/>
  <c r="AB42" i="1"/>
  <c r="GM79" i="1"/>
  <c r="GP79" i="1"/>
  <c r="GK171" i="1"/>
  <c r="K296" i="5"/>
  <c r="J357" i="5"/>
  <c r="P357" i="5" s="1"/>
  <c r="AG156" i="1"/>
  <c r="T177" i="1"/>
  <c r="J382" i="5"/>
  <c r="F225" i="1"/>
  <c r="AP205" i="1"/>
  <c r="AP242" i="1"/>
  <c r="CY213" i="1"/>
  <c r="X213" i="1" s="1"/>
  <c r="R374" i="5" s="1"/>
  <c r="CZ213" i="1"/>
  <c r="Y213" i="1" s="1"/>
  <c r="GM165" i="1"/>
  <c r="GN122" i="1"/>
  <c r="GM122" i="1"/>
  <c r="J156" i="5"/>
  <c r="P156" i="5" s="1"/>
  <c r="GM209" i="1"/>
  <c r="GN209" i="1"/>
  <c r="AF112" i="1"/>
  <c r="S128" i="1"/>
  <c r="AE84" i="1"/>
  <c r="GK72" i="1"/>
  <c r="H317" i="5"/>
  <c r="AF26" i="1"/>
  <c r="S42" i="1"/>
  <c r="K151" i="5"/>
  <c r="GK114" i="1"/>
  <c r="GN114" i="1" s="1"/>
  <c r="AE128" i="1"/>
  <c r="GM39" i="1"/>
  <c r="GP39" i="1"/>
  <c r="AI205" i="1"/>
  <c r="V216" i="1"/>
  <c r="Y177" i="1"/>
  <c r="AL156" i="1"/>
  <c r="AJ112" i="1"/>
  <c r="W128" i="1"/>
  <c r="AC112" i="1"/>
  <c r="BL128" i="1"/>
  <c r="P128" i="1"/>
  <c r="BI128" i="1"/>
  <c r="BJ128" i="1"/>
  <c r="K31" i="5"/>
  <c r="GN31" i="1"/>
  <c r="GM31" i="1"/>
  <c r="GM173" i="1"/>
  <c r="GP173" i="1"/>
  <c r="AX216" i="1"/>
  <c r="BK205" i="1"/>
  <c r="AF205" i="1"/>
  <c r="S216" i="1"/>
  <c r="U177" i="1"/>
  <c r="AH156" i="1"/>
  <c r="BM205" i="1"/>
  <c r="AZ216" i="1"/>
  <c r="GM123" i="1"/>
  <c r="GP123" i="1"/>
  <c r="AH70" i="1"/>
  <c r="U84" i="1"/>
  <c r="F100" i="1"/>
  <c r="AT70" i="1"/>
  <c r="AT242" i="1"/>
  <c r="BL177" i="1"/>
  <c r="AC156" i="1"/>
  <c r="P177" i="1"/>
  <c r="BI177" i="1"/>
  <c r="BJ177" i="1"/>
  <c r="AG70" i="1"/>
  <c r="T84" i="1"/>
  <c r="U216" i="1"/>
  <c r="AH205" i="1"/>
  <c r="AE216" i="1"/>
  <c r="BI216" i="1"/>
  <c r="BJ216" i="1"/>
  <c r="BL216" i="1"/>
  <c r="AC205" i="1"/>
  <c r="P216" i="1"/>
  <c r="GN163" i="1"/>
  <c r="GM163" i="1"/>
  <c r="S177" i="1"/>
  <c r="AF156" i="1"/>
  <c r="H218" i="5"/>
  <c r="R23" i="5"/>
  <c r="AK42" i="1"/>
  <c r="K49" i="5"/>
  <c r="GK34" i="1"/>
  <c r="GM34" i="1" s="1"/>
  <c r="GP172" i="1"/>
  <c r="BH177" i="1" s="1"/>
  <c r="GM172" i="1"/>
  <c r="K237" i="5"/>
  <c r="K232" i="5" s="1"/>
  <c r="GN160" i="1"/>
  <c r="GM160" i="1"/>
  <c r="F63" i="1"/>
  <c r="W26" i="1"/>
  <c r="H376" i="5"/>
  <c r="O376" i="5" s="1"/>
  <c r="H382" i="5" s="1"/>
  <c r="AA376" i="5"/>
  <c r="I15" i="5" s="1"/>
  <c r="AG205" i="1"/>
  <c r="T216" i="1"/>
  <c r="CP124" i="1"/>
  <c r="O124" i="1" s="1"/>
  <c r="V156" i="1"/>
  <c r="F197" i="1"/>
  <c r="K92" i="5"/>
  <c r="GM73" i="1"/>
  <c r="GN73" i="1"/>
  <c r="AB84" i="1"/>
  <c r="K168" i="5"/>
  <c r="GM117" i="1"/>
  <c r="GN117" i="1"/>
  <c r="K93" i="5"/>
  <c r="GN74" i="1"/>
  <c r="GM74" i="1"/>
  <c r="GN116" i="1"/>
  <c r="AD70" i="1"/>
  <c r="Q84" i="1"/>
  <c r="BI42" i="1"/>
  <c r="P42" i="1"/>
  <c r="BJ42" i="1"/>
  <c r="AC26" i="1"/>
  <c r="BL42" i="1"/>
  <c r="W84" i="1"/>
  <c r="W242" i="1" s="1"/>
  <c r="AJ70" i="1"/>
  <c r="AO22" i="1"/>
  <c r="F246" i="1"/>
  <c r="AO268" i="1"/>
  <c r="CP213" i="1"/>
  <c r="O213" i="1" s="1"/>
  <c r="GN158" i="1"/>
  <c r="GM158" i="1"/>
  <c r="AB177" i="1"/>
  <c r="AD128" i="1"/>
  <c r="K32" i="5"/>
  <c r="J35" i="5" s="1"/>
  <c r="P35" i="5" s="1"/>
  <c r="GN32" i="1"/>
  <c r="GM32" i="1"/>
  <c r="GN210" i="1"/>
  <c r="GM210" i="1"/>
  <c r="GM208" i="1"/>
  <c r="GN208" i="1"/>
  <c r="AB216" i="1"/>
  <c r="J259" i="5"/>
  <c r="P259" i="5" s="1"/>
  <c r="K252" i="5"/>
  <c r="R237" i="5"/>
  <c r="AK177" i="1"/>
  <c r="P84" i="1"/>
  <c r="BJ84" i="1"/>
  <c r="BL84" i="1"/>
  <c r="AC70" i="1"/>
  <c r="BI84" i="1"/>
  <c r="T23" i="5"/>
  <c r="AL42" i="1"/>
  <c r="H385" i="5"/>
  <c r="H82" i="5"/>
  <c r="I11" i="5"/>
  <c r="F237" i="1"/>
  <c r="W205" i="1"/>
  <c r="T128" i="1"/>
  <c r="AG112" i="1"/>
  <c r="BF128" i="1" l="1"/>
  <c r="AS128" i="1" s="1"/>
  <c r="AK216" i="1"/>
  <c r="AZ70" i="1"/>
  <c r="F95" i="1"/>
  <c r="U26" i="1"/>
  <c r="F61" i="1"/>
  <c r="F139" i="1"/>
  <c r="AZ112" i="1"/>
  <c r="T242" i="1"/>
  <c r="F260" i="1" s="1"/>
  <c r="AZ156" i="1"/>
  <c r="F188" i="1"/>
  <c r="F62" i="1"/>
  <c r="V26" i="1"/>
  <c r="K24" i="5"/>
  <c r="BF112" i="1"/>
  <c r="J82" i="5"/>
  <c r="T22" i="1"/>
  <c r="T112" i="1"/>
  <c r="F146" i="1"/>
  <c r="BI70" i="1"/>
  <c r="AV84" i="1"/>
  <c r="AB205" i="1"/>
  <c r="O216" i="1"/>
  <c r="AD112" i="1"/>
  <c r="Q128" i="1"/>
  <c r="Q242" i="1" s="1"/>
  <c r="GP213" i="1"/>
  <c r="BH216" i="1" s="1"/>
  <c r="GM213" i="1"/>
  <c r="BE216" i="1" s="1"/>
  <c r="AW42" i="1"/>
  <c r="BJ26" i="1"/>
  <c r="Y42" i="1"/>
  <c r="AL26" i="1"/>
  <c r="AY84" i="1"/>
  <c r="BL70" i="1"/>
  <c r="BF216" i="1"/>
  <c r="AB156" i="1"/>
  <c r="O177" i="1"/>
  <c r="AO18" i="1"/>
  <c r="F272" i="1"/>
  <c r="W70" i="1"/>
  <c r="F105" i="1"/>
  <c r="P26" i="1"/>
  <c r="F45" i="1"/>
  <c r="P242" i="1"/>
  <c r="AK26" i="1"/>
  <c r="X42" i="1"/>
  <c r="F219" i="1"/>
  <c r="P205" i="1"/>
  <c r="BI205" i="1"/>
  <c r="AV216" i="1"/>
  <c r="BJ156" i="1"/>
  <c r="AW177" i="1"/>
  <c r="AY177" i="1"/>
  <c r="BL156" i="1"/>
  <c r="U70" i="1"/>
  <c r="F103" i="1"/>
  <c r="U242" i="1"/>
  <c r="F227" i="1"/>
  <c r="AZ205" i="1"/>
  <c r="AZ242" i="1"/>
  <c r="S205" i="1"/>
  <c r="F230" i="1"/>
  <c r="BL112" i="1"/>
  <c r="AY128" i="1"/>
  <c r="BH84" i="1"/>
  <c r="BE42" i="1"/>
  <c r="V70" i="1"/>
  <c r="V242" i="1"/>
  <c r="F104" i="1"/>
  <c r="GN34" i="1"/>
  <c r="BF42" i="1" s="1"/>
  <c r="GM114" i="1"/>
  <c r="BE128" i="1" s="1"/>
  <c r="Y112" i="1"/>
  <c r="F151" i="1"/>
  <c r="F54" i="1"/>
  <c r="Q26" i="1"/>
  <c r="BH42" i="1"/>
  <c r="AW84" i="1"/>
  <c r="BJ70" i="1"/>
  <c r="BL26" i="1"/>
  <c r="AY42" i="1"/>
  <c r="BI26" i="1"/>
  <c r="AV42" i="1"/>
  <c r="GM124" i="1"/>
  <c r="GP124" i="1"/>
  <c r="BH156" i="1"/>
  <c r="AU177" i="1"/>
  <c r="F191" i="1"/>
  <c r="S156" i="1"/>
  <c r="R216" i="1"/>
  <c r="AE205" i="1"/>
  <c r="BI156" i="1"/>
  <c r="AV177" i="1"/>
  <c r="F258" i="1"/>
  <c r="J13" i="5" s="1"/>
  <c r="J387" i="5" s="1"/>
  <c r="J395" i="5" s="1"/>
  <c r="AT22" i="1"/>
  <c r="AT268" i="1"/>
  <c r="BJ112" i="1"/>
  <c r="AW128" i="1"/>
  <c r="Y156" i="1"/>
  <c r="F200" i="1"/>
  <c r="F56" i="1"/>
  <c r="S26" i="1"/>
  <c r="S242" i="1"/>
  <c r="GM72" i="1"/>
  <c r="BE84" i="1" s="1"/>
  <c r="GN72" i="1"/>
  <c r="BF84" i="1" s="1"/>
  <c r="J241" i="5"/>
  <c r="P241" i="5" s="1"/>
  <c r="J317" i="5" s="1"/>
  <c r="AL70" i="1"/>
  <c r="Y84" i="1"/>
  <c r="F55" i="1"/>
  <c r="R26" i="1"/>
  <c r="S70" i="1"/>
  <c r="F98" i="1"/>
  <c r="F96" i="1"/>
  <c r="Q70" i="1"/>
  <c r="K163" i="5"/>
  <c r="J172" i="5"/>
  <c r="P172" i="5" s="1"/>
  <c r="J96" i="5"/>
  <c r="P96" i="5" s="1"/>
  <c r="K87" i="5"/>
  <c r="F234" i="1"/>
  <c r="T205" i="1"/>
  <c r="F263" i="1"/>
  <c r="W268" i="1"/>
  <c r="W22" i="1"/>
  <c r="BL205" i="1"/>
  <c r="AY216" i="1"/>
  <c r="T70" i="1"/>
  <c r="F102" i="1"/>
  <c r="F180" i="1"/>
  <c r="P156" i="1"/>
  <c r="BH128" i="1"/>
  <c r="BI112" i="1"/>
  <c r="AV128" i="1"/>
  <c r="F149" i="1"/>
  <c r="W112" i="1"/>
  <c r="F236" i="1"/>
  <c r="V205" i="1"/>
  <c r="R128" i="1"/>
  <c r="AE112" i="1"/>
  <c r="AE70" i="1"/>
  <c r="R84" i="1"/>
  <c r="AB26" i="1"/>
  <c r="O42" i="1"/>
  <c r="U112" i="1"/>
  <c r="F147" i="1"/>
  <c r="AK205" i="1"/>
  <c r="X216" i="1"/>
  <c r="AE156" i="1"/>
  <c r="R177" i="1"/>
  <c r="Q205" i="1"/>
  <c r="F228" i="1"/>
  <c r="F278" i="1"/>
  <c r="AQ18" i="1"/>
  <c r="AK70" i="1"/>
  <c r="X84" i="1"/>
  <c r="P70" i="1"/>
  <c r="F87" i="1"/>
  <c r="AK156" i="1"/>
  <c r="X177" i="1"/>
  <c r="AB70" i="1"/>
  <c r="O84" i="1"/>
  <c r="AW216" i="1"/>
  <c r="BJ205" i="1"/>
  <c r="U205" i="1"/>
  <c r="F235" i="1"/>
  <c r="U156" i="1"/>
  <c r="F196" i="1"/>
  <c r="F223" i="1"/>
  <c r="AX205" i="1"/>
  <c r="AX242" i="1"/>
  <c r="P112" i="1"/>
  <c r="F131" i="1"/>
  <c r="S112" i="1"/>
  <c r="F142" i="1"/>
  <c r="J218" i="5"/>
  <c r="T374" i="5"/>
  <c r="AL216" i="1"/>
  <c r="AP268" i="1"/>
  <c r="F251" i="1"/>
  <c r="J14" i="5" s="1"/>
  <c r="J388" i="5" s="1"/>
  <c r="J396" i="5" s="1"/>
  <c r="AP22" i="1"/>
  <c r="T156" i="1"/>
  <c r="F195" i="1"/>
  <c r="GM171" i="1"/>
  <c r="BE177" i="1" s="1"/>
  <c r="GN171" i="1"/>
  <c r="BF177" i="1" s="1"/>
  <c r="J117" i="5"/>
  <c r="P117" i="5" s="1"/>
  <c r="K109" i="5"/>
  <c r="AB128" i="1"/>
  <c r="X112" i="1"/>
  <c r="F150" i="1"/>
  <c r="F148" i="1"/>
  <c r="V112" i="1"/>
  <c r="T268" i="1" l="1"/>
  <c r="AR177" i="1"/>
  <c r="BE156" i="1"/>
  <c r="AR216" i="1"/>
  <c r="BE205" i="1"/>
  <c r="BF26" i="1"/>
  <c r="AS42" i="1"/>
  <c r="O70" i="1"/>
  <c r="F86" i="1"/>
  <c r="R156" i="1"/>
  <c r="F190" i="1"/>
  <c r="F97" i="1"/>
  <c r="R70" i="1"/>
  <c r="F133" i="1"/>
  <c r="AV112" i="1"/>
  <c r="AW112" i="1"/>
  <c r="F134" i="1"/>
  <c r="R205" i="1"/>
  <c r="F229" i="1"/>
  <c r="O128" i="1"/>
  <c r="O242" i="1" s="1"/>
  <c r="AB112" i="1"/>
  <c r="BF70" i="1"/>
  <c r="AS84" i="1"/>
  <c r="AV156" i="1"/>
  <c r="F182" i="1"/>
  <c r="AY26" i="1"/>
  <c r="F50" i="1"/>
  <c r="AY242" i="1"/>
  <c r="F90" i="1"/>
  <c r="AW70" i="1"/>
  <c r="BE26" i="1"/>
  <c r="AR42" i="1"/>
  <c r="F221" i="1"/>
  <c r="AV205" i="1"/>
  <c r="X26" i="1"/>
  <c r="F64" i="1"/>
  <c r="X242" i="1"/>
  <c r="Q112" i="1"/>
  <c r="F140" i="1"/>
  <c r="F89" i="1"/>
  <c r="AV70" i="1"/>
  <c r="X156" i="1"/>
  <c r="F199" i="1"/>
  <c r="F106" i="1"/>
  <c r="X70" i="1"/>
  <c r="F238" i="1"/>
  <c r="X205" i="1"/>
  <c r="F44" i="1"/>
  <c r="O26" i="1"/>
  <c r="BH112" i="1"/>
  <c r="AU128" i="1"/>
  <c r="F289" i="1"/>
  <c r="W18" i="1"/>
  <c r="Y70" i="1"/>
  <c r="F107" i="1"/>
  <c r="BE70" i="1"/>
  <c r="AR84" i="1"/>
  <c r="AT18" i="1"/>
  <c r="F284" i="1"/>
  <c r="AU42" i="1"/>
  <c r="BH26" i="1"/>
  <c r="AU84" i="1"/>
  <c r="BH70" i="1"/>
  <c r="F261" i="1"/>
  <c r="U268" i="1"/>
  <c r="U22" i="1"/>
  <c r="F185" i="1"/>
  <c r="AY156" i="1"/>
  <c r="O156" i="1"/>
  <c r="F179" i="1"/>
  <c r="AY70" i="1"/>
  <c r="F92" i="1"/>
  <c r="F48" i="1"/>
  <c r="AW242" i="1"/>
  <c r="AW26" i="1"/>
  <c r="T18" i="1"/>
  <c r="F286" i="1"/>
  <c r="F277" i="1"/>
  <c r="AP18" i="1"/>
  <c r="AX268" i="1"/>
  <c r="AX22" i="1"/>
  <c r="F249" i="1"/>
  <c r="F222" i="1"/>
  <c r="AW205" i="1"/>
  <c r="R112" i="1"/>
  <c r="F141" i="1"/>
  <c r="AY205" i="1"/>
  <c r="F224" i="1"/>
  <c r="J143" i="5"/>
  <c r="R242" i="1"/>
  <c r="S268" i="1"/>
  <c r="F256" i="1"/>
  <c r="S22" i="1"/>
  <c r="F194" i="1"/>
  <c r="AU156" i="1"/>
  <c r="AV26" i="1"/>
  <c r="F47" i="1"/>
  <c r="AV242" i="1"/>
  <c r="Q22" i="1"/>
  <c r="Q268" i="1"/>
  <c r="F254" i="1"/>
  <c r="V22" i="1"/>
  <c r="V268" i="1"/>
  <c r="F262" i="1"/>
  <c r="F136" i="1"/>
  <c r="AY112" i="1"/>
  <c r="AZ22" i="1"/>
  <c r="AZ268" i="1"/>
  <c r="F253" i="1"/>
  <c r="AW156" i="1"/>
  <c r="F183" i="1"/>
  <c r="P22" i="1"/>
  <c r="F245" i="1"/>
  <c r="P268" i="1"/>
  <c r="O205" i="1"/>
  <c r="F218" i="1"/>
  <c r="AS112" i="1"/>
  <c r="F143" i="1"/>
  <c r="AL205" i="1"/>
  <c r="Y216" i="1"/>
  <c r="BF156" i="1"/>
  <c r="AS177" i="1"/>
  <c r="AR128" i="1"/>
  <c r="BE112" i="1"/>
  <c r="AS216" i="1"/>
  <c r="BF205" i="1"/>
  <c r="F65" i="1"/>
  <c r="Y26" i="1"/>
  <c r="Y242" i="1"/>
  <c r="BH205" i="1"/>
  <c r="AU216" i="1"/>
  <c r="J385" i="5"/>
  <c r="R22" i="1" l="1"/>
  <c r="R268" i="1"/>
  <c r="F255" i="1"/>
  <c r="F231" i="1"/>
  <c r="AS205" i="1"/>
  <c r="F108" i="1"/>
  <c r="AR70" i="1"/>
  <c r="Y205" i="1"/>
  <c r="F239" i="1"/>
  <c r="AZ18" i="1"/>
  <c r="F279" i="1"/>
  <c r="F280" i="1"/>
  <c r="Q18" i="1"/>
  <c r="J16" i="5"/>
  <c r="AX18" i="1"/>
  <c r="F275" i="1"/>
  <c r="AU26" i="1"/>
  <c r="F59" i="1"/>
  <c r="AU242" i="1"/>
  <c r="X22" i="1"/>
  <c r="F264" i="1"/>
  <c r="X268" i="1"/>
  <c r="AR112" i="1"/>
  <c r="F152" i="1"/>
  <c r="F288" i="1"/>
  <c r="V18" i="1"/>
  <c r="S18" i="1"/>
  <c r="F282" i="1"/>
  <c r="AU112" i="1"/>
  <c r="F145" i="1"/>
  <c r="AR26" i="1"/>
  <c r="F66" i="1"/>
  <c r="AR242" i="1"/>
  <c r="F250" i="1"/>
  <c r="AY22" i="1"/>
  <c r="AY268" i="1"/>
  <c r="O112" i="1"/>
  <c r="F130" i="1"/>
  <c r="F240" i="1"/>
  <c r="AR205" i="1"/>
  <c r="AS156" i="1"/>
  <c r="F192" i="1"/>
  <c r="F247" i="1"/>
  <c r="AV268" i="1"/>
  <c r="AV22" i="1"/>
  <c r="AW22" i="1"/>
  <c r="F248" i="1"/>
  <c r="AW268" i="1"/>
  <c r="F101" i="1"/>
  <c r="AU70" i="1"/>
  <c r="AS70" i="1"/>
  <c r="F99" i="1"/>
  <c r="F57" i="1"/>
  <c r="AS242" i="1"/>
  <c r="AS26" i="1"/>
  <c r="F233" i="1"/>
  <c r="AU205" i="1"/>
  <c r="P18" i="1"/>
  <c r="F271" i="1"/>
  <c r="F265" i="1"/>
  <c r="Y22" i="1"/>
  <c r="Y268" i="1"/>
  <c r="U18" i="1"/>
  <c r="F287" i="1"/>
  <c r="O268" i="1"/>
  <c r="F244" i="1"/>
  <c r="O22" i="1"/>
  <c r="AR156" i="1"/>
  <c r="F201" i="1"/>
  <c r="AS22" i="1" l="1"/>
  <c r="F257" i="1"/>
  <c r="J12" i="5" s="1"/>
  <c r="J386" i="5" s="1"/>
  <c r="AS268" i="1"/>
  <c r="O18" i="1"/>
  <c r="F270" i="1"/>
  <c r="F266" i="1"/>
  <c r="J11" i="5" s="1"/>
  <c r="AR22" i="1"/>
  <c r="AR268" i="1"/>
  <c r="AW18" i="1"/>
  <c r="F274" i="1"/>
  <c r="F273" i="1"/>
  <c r="AV18" i="1"/>
  <c r="F276" i="1"/>
  <c r="AY18" i="1"/>
  <c r="AU268" i="1"/>
  <c r="AU22" i="1"/>
  <c r="F259" i="1"/>
  <c r="J15" i="5" s="1"/>
  <c r="J389" i="5" s="1"/>
  <c r="J397" i="5" s="1"/>
  <c r="X18" i="1"/>
  <c r="F290" i="1"/>
  <c r="Y18" i="1"/>
  <c r="F291" i="1"/>
  <c r="R18" i="1"/>
  <c r="F281" i="1"/>
  <c r="AR18" i="1" l="1"/>
  <c r="F292" i="1"/>
  <c r="J394" i="5"/>
  <c r="J390" i="5"/>
  <c r="J391" i="5" s="1"/>
  <c r="AU18" i="1"/>
  <c r="F285" i="1"/>
  <c r="AS18" i="1"/>
  <c r="F283" i="1"/>
  <c r="J392" i="5" l="1"/>
  <c r="J393" i="5" s="1"/>
  <c r="K400" i="5" s="1"/>
</calcChain>
</file>

<file path=xl/sharedStrings.xml><?xml version="1.0" encoding="utf-8"?>
<sst xmlns="http://schemas.openxmlformats.org/spreadsheetml/2006/main" count="4701" uniqueCount="487">
  <si>
    <t>Smeta.RU  (495) 974-1589</t>
  </si>
  <si>
    <t>_PS_</t>
  </si>
  <si>
    <t>Smeta.RU</t>
  </si>
  <si>
    <t/>
  </si>
  <si>
    <t>Новый объект</t>
  </si>
  <si>
    <t>Подмосковная ул., вл. 16</t>
  </si>
  <si>
    <t>Сметные нормы списания</t>
  </si>
  <si>
    <t>Коды ОКП для ТСН-2001</t>
  </si>
  <si>
    <t>ТСН 2001- Новое строительство</t>
  </si>
  <si>
    <t>Типовой расчет для ТСН-2001 (Строительство) [Ленинский проспект, вл.123, корп.1, пересеч. с  Островитянова]</t>
  </si>
  <si>
    <t>ТСН-2001</t>
  </si>
  <si>
    <t>Новая локальная смета</t>
  </si>
  <si>
    <t>Подключение к системам теплоснабжения ПАО "МОЭК" объекта капитального строительства "Жилой дом", расположенного по адресу: г. Москва, ул. Подмосковная, вл.16</t>
  </si>
  <si>
    <t>Новый раздел</t>
  </si>
  <si>
    <t>Тепловая сеть 2Ду80 ППУ-ПЭ в непроходном канале - 50 п.м</t>
  </si>
  <si>
    <t>1</t>
  </si>
  <si>
    <t>16.1-3021-1</t>
  </si>
  <si>
    <t>ПРОКЛАДКА ТЕПЛОВЫХ СЕТЕЙ ИЗ СТАЛЬНЫХ ЭЛЕКТРОСВАРНЫХ ТРУБ В КАНАЛАХ ИЗ СБОРНОГО ЖЕЛЕЗОБЕТОНА ПО ПРОЕЗДАМ С ДОРОЖНЫМИ ПОКРЫТИЯМИ (В ОТВЕСНЫХ СТЕНКАХ С КРЕПЛЕНИЕМ МЕТАЛЛИЧЕСКИМИ ТРУБАМИ), ДИАМЕТР ТРУБ 200 ММ</t>
  </si>
  <si>
    <t>м</t>
  </si>
  <si>
    <t>ТСН-2001.16. База. Сб.1, т.3021, поз.1</t>
  </si>
  <si>
    <t>Кинтерполяции для Ду80; К=0,96-непроходной канал</t>
  </si>
  <si>
    <t>*0,90*0,96</t>
  </si>
  <si>
    <t>*1,15*0,96*0,96</t>
  </si>
  <si>
    <t>*1,15*0,94*0,96</t>
  </si>
  <si>
    <t>Укрупненные показатели стоимости строительства</t>
  </si>
  <si>
    <t>ТСН-2001.16-1. Укрупненные показатели стоимости строительства (доп. 17, 24)</t>
  </si>
  <si>
    <t>ТСН-2001.16-0-1</t>
  </si>
  <si>
    <t>1,1</t>
  </si>
  <si>
    <t>1.1-1-629</t>
  </si>
  <si>
    <t>МАТЫ МИНЕРАЛОВАТНЫЕ ПРОШИВНЫЕ БЕЗ ОБКЛАДОК, МАРКА 75-100, ТОЛЩИНА 60 ММ</t>
  </si>
  <si>
    <t>м3</t>
  </si>
  <si>
    <t>ТСН-2001.1. База. Р.1, о.1, поз.629</t>
  </si>
  <si>
    <t>1,2</t>
  </si>
  <si>
    <t>1.12-2-3</t>
  </si>
  <si>
    <t>ПЕНОПОЛИУРЕТАНОВАЯ ИЗОЛЯЦИЯ ТРУБ, НАРУЖНЫЙ ДИАМЕТР 89ММ</t>
  </si>
  <si>
    <t>ТСН-2001.1. База. Р.12, о.2, поз.3</t>
  </si>
  <si>
    <t>1,3</t>
  </si>
  <si>
    <t>0.0-0-0</t>
  </si>
  <si>
    <t>МАССА МУСОРА</t>
  </si>
  <si>
    <t>т</t>
  </si>
  <si>
    <t>1,4</t>
  </si>
  <si>
    <t>ОБЪЕМ ГРУНТА</t>
  </si>
  <si>
    <t>2</t>
  </si>
  <si>
    <t>3.24-24-1</t>
  </si>
  <si>
    <t>КОНТРОЛЬ СВАРНЫХ СОЕДИНЕНИЙ ПРОСВЕЧИВАНИЕМ РЕНТГЕНОВСКИМИ УСТАНОВКАМИ ЧЕРЕЗ ДВЕ СТЕНКИ ТРУБОПРОВОДОВ ДИАМЕТРОМ, ММ, ДО: 100</t>
  </si>
  <si>
    <t>стык</t>
  </si>
  <si>
    <t>ТСН-2001.3. База. Сб.24, т.24, поз.1</t>
  </si>
  <si>
    <t>*1,15</t>
  </si>
  <si>
    <t>Строительные работы</t>
  </si>
  <si>
    <t>ТСН-2001.3-24. 24-1...24-60</t>
  </si>
  <si>
    <t>ТСН-2001.3-24-1</t>
  </si>
  <si>
    <t>3</t>
  </si>
  <si>
    <t>3.24-42-3</t>
  </si>
  <si>
    <t>БЕСКАНАЛЬНАЯ ПРОКЛАДКА ТРУБОПРОВОДОВ С ТЕПЛОИЗОЛЯЦИЕЙ ИЗ ПЕНОПОЛИУРЕТАНА. ИЗОЛЯЦИЯ СТЫКОВ ТРУБ, ДИАМЕТР ТРУБ 80 ММ</t>
  </si>
  <si>
    <t>ТСН-2001.3. База. Сб.24, т.42, поз.3</t>
  </si>
  <si>
    <t>3,1</t>
  </si>
  <si>
    <t>1.12-2-594</t>
  </si>
  <si>
    <t>КОМПЛЕКТ ДЛЯ ИЗОЛЯЦИИ СТЫКА МФЛ-1000, ИЗ ПЕНОПОЛИУРЕТАНА, НАРУЖНЫЙ ДИАМЕТР ТРУБ 89 ММ</t>
  </si>
  <si>
    <t>компл.</t>
  </si>
  <si>
    <t>ТСН-2001.1. База. Р.12, о.2, поз.594</t>
  </si>
  <si>
    <t>4</t>
  </si>
  <si>
    <t>3.1-6-10</t>
  </si>
  <si>
    <t>РАЗРАБОТКА ГРУНТА С ПОГРУЗКОЙ НА АВТОМОБИЛИ-САМОСВАЛЫ ЭКСКАВАТОРАМИ С КОВШОМ ВМЕСТИМОСТЬЮ 0,5 М3 ГРУППА ГРУНТОВ 1-3</t>
  </si>
  <si>
    <t>100 м3</t>
  </si>
  <si>
    <t>ТСН-2001.3. База. Сб.1, т.6, поз.10</t>
  </si>
  <si>
    <t>ТСН-2001.3-1. 1-1...1-7</t>
  </si>
  <si>
    <t>ТСН-2001.3-1-1</t>
  </si>
  <si>
    <t>5</t>
  </si>
  <si>
    <t>15.1-28-1</t>
  </si>
  <si>
    <t>ПЕРЕВОЗКА ГРУНТА ИЗ-ПОД ЗДАНИЙ И КОММУНИКАЦИЙ НА РАССТОЯНИЕ 28 КМ АВТОСАМОСВАЛАМИ ГРУЗОПОДЪЕМНОСТЬЮ ДО 16Т, ПЕРЕВОЗКА ДО 28 КМ</t>
  </si>
  <si>
    <t>ТСН-2001.15. База. Сб.1, т.28, поз.1</t>
  </si>
  <si>
    <t>Транспортные затраты</t>
  </si>
  <si>
    <t>ТСН-2001.15-1. Перевозка грунта</t>
  </si>
  <si>
    <t>ТСН-2001.15-1-3</t>
  </si>
  <si>
    <t>6</t>
  </si>
  <si>
    <t>15.1-0-9</t>
  </si>
  <si>
    <t>РАЗМЕЩЕНИЕ ГРУНТОВ, ПОЛУЧЕННЫХ В РЕЗУЛЬТАТЕ ПРОИЗВОДСТВА ЗЕМЛЯНЫХ РАБОТ, НЕ ИСПОЛЬЗУЕМЫХ ДЛЯ ОБРАТНОЙ ЗАСЫПКИ: ГРУНТЫ НЕЗАМУСОРЕННЫЕ ЭКОЛОГИЧЕСКИ ЧИСТЫЕ</t>
  </si>
  <si>
    <t>ТСН-2001.15. Доп.26. Сб.1, т.0, поз.9</t>
  </si>
  <si>
    <t>7</t>
  </si>
  <si>
    <t>15.1-28-5</t>
  </si>
  <si>
    <t>ПЕРЕВОЗКА СТРОИТЕЛЬНОГО МУСОРА НА РАССТОЯНИЕ 28 КМ АВТОСАМОСВАЛАМИ ГРУЗОПОДЪЕМНОСТЬЮ ДО 16 Т, ПЕРЕВОЗКА ДО 28 КМ</t>
  </si>
  <si>
    <t>ТСН-2001.15. База. Сб.1, т.28, поз.5</t>
  </si>
  <si>
    <t>ТСН-2001.15-1. Перевозка строительного мусора</t>
  </si>
  <si>
    <t>ТСН-2001.15-1-5</t>
  </si>
  <si>
    <t>8</t>
  </si>
  <si>
    <t>15.1-0-1</t>
  </si>
  <si>
    <t>СОДЕРЖАНИЕ СВАЛКИ ОТХОДОВ СТРОИТЕЛЬСТВА И СНОСА</t>
  </si>
  <si>
    <t>ТСН-2001.15. База. Сб.1, т.0, поз.1</t>
  </si>
  <si>
    <t>ТСН-2001.15-1. Содержание свалки</t>
  </si>
  <si>
    <t>ТСН-2001.15-1-2</t>
  </si>
  <si>
    <t>ПЗ</t>
  </si>
  <si>
    <t>Прямые затраты</t>
  </si>
  <si>
    <t>СтМатОб</t>
  </si>
  <si>
    <t>Стоимость материальных ресурсов (всего)</t>
  </si>
  <si>
    <t>СтМатОбЗак</t>
  </si>
  <si>
    <t>Стоимость материалов и оборудования заказчика</t>
  </si>
  <si>
    <t>СтМатОбПод</t>
  </si>
  <si>
    <t>Стоимость материалов и оборудования подрядчика</t>
  </si>
  <si>
    <t>СтМат</t>
  </si>
  <si>
    <t>Стоимость материалов (всего)</t>
  </si>
  <si>
    <t>СтМатЗак</t>
  </si>
  <si>
    <t>Стоимость материалов заказчика</t>
  </si>
  <si>
    <t>СтМатПод</t>
  </si>
  <si>
    <t>Стоимость материалов подрядчика</t>
  </si>
  <si>
    <t>Оборуд</t>
  </si>
  <si>
    <t>Стоимость оборудования (всего)</t>
  </si>
  <si>
    <t>ОборудЗак</t>
  </si>
  <si>
    <t>Стоимость оборудования заказчика</t>
  </si>
  <si>
    <t>ОборудПод</t>
  </si>
  <si>
    <t>Стоимость оборудования подрядчика</t>
  </si>
  <si>
    <t>ЭММ</t>
  </si>
  <si>
    <t>Эксплуатация машин</t>
  </si>
  <si>
    <t>ЗПМ</t>
  </si>
  <si>
    <t>ЗП машинистов</t>
  </si>
  <si>
    <t>ОЗП</t>
  </si>
  <si>
    <t>Основная ЗП рабочих</t>
  </si>
  <si>
    <t>Строит</t>
  </si>
  <si>
    <t>Строительные работы с НР и СП</t>
  </si>
  <si>
    <t>Монтаж</t>
  </si>
  <si>
    <t>Монтажные работы с НР и СП</t>
  </si>
  <si>
    <t>Прочие</t>
  </si>
  <si>
    <t>Прочие работы с НР и СП</t>
  </si>
  <si>
    <t>ВозврМат</t>
  </si>
  <si>
    <t>Возврат материалов</t>
  </si>
  <si>
    <t>ТрудСтр</t>
  </si>
  <si>
    <t>Трудозатраты строителей</t>
  </si>
  <si>
    <t>ТрудМаш</t>
  </si>
  <si>
    <t>Трудозатраты машинистов</t>
  </si>
  <si>
    <t>ТранспМат</t>
  </si>
  <si>
    <t>Транспорт материалов</t>
  </si>
  <si>
    <t>НР</t>
  </si>
  <si>
    <t>Накладные расходы</t>
  </si>
  <si>
    <t>СмПриб</t>
  </si>
  <si>
    <t>Сметная прибыль</t>
  </si>
  <si>
    <t>Всего</t>
  </si>
  <si>
    <t>Всего с НР и СП</t>
  </si>
  <si>
    <t>Тепловая сеть 2Ду80 ППУ-ПЭ бесканально - 60 п.м</t>
  </si>
  <si>
    <t>9</t>
  </si>
  <si>
    <t>16.1-3001-1</t>
  </si>
  <si>
    <t>БЕСКАНАЛЬНАЯ ПРОКЛАДКА ТРУБОПРОВОДОВ ИЗ СТАЛЬНЫХ ТРУБ С ТЕПЛОИЗОЛЯЦИЕЙ ИЗ ПЕНОПОЛИУРЕТАНА ПО ПРОЕЗДАМ БЕЗ ДОРОЖНЫХ ПОКРЫТИЙ И В ЗЕЛЕНОЙ ЗОНЕ (В ОТВЕСНЫХ СТЕНКАХ С КРЕПЛЕНИЕМ ИНВЕНТАРНЫМИ ЩИТАМИ), ДИАМЕТР ТРУБ 200 ММ</t>
  </si>
  <si>
    <t>ТСН-2001.16. База. Сб.1, т.3001, поз.1</t>
  </si>
  <si>
    <t>Кинтерполяции для Ду80</t>
  </si>
  <si>
    <t>*0,70</t>
  </si>
  <si>
    <t>*1,15*0,74</t>
  </si>
  <si>
    <t>*1,15*0,85</t>
  </si>
  <si>
    <t>9,1</t>
  </si>
  <si>
    <t>9,2</t>
  </si>
  <si>
    <t>10</t>
  </si>
  <si>
    <t>11</t>
  </si>
  <si>
    <t>16.3-14-1</t>
  </si>
  <si>
    <t>ГАЗОН В ГОРОДСКИХ УСЛОВИЯХ, С ПОСЕВОМ ТРАВ, С ВНЕСЕНИЕМ РАСТИТЕЛЬНОЙ СМЕСИ СЛОЕМ 20 СМ</t>
  </si>
  <si>
    <t>м2</t>
  </si>
  <si>
    <t>ТСН-2001.16. База. Сб.3, т.14, поз.1</t>
  </si>
  <si>
    <t>11,1</t>
  </si>
  <si>
    <t>12</t>
  </si>
  <si>
    <t>13</t>
  </si>
  <si>
    <t>14</t>
  </si>
  <si>
    <t>15</t>
  </si>
  <si>
    <t>16</t>
  </si>
  <si>
    <t>Тепловая камера (реконструкция) 5,2х4,6х2,5</t>
  </si>
  <si>
    <t>17</t>
  </si>
  <si>
    <t>3.7-46-1</t>
  </si>
  <si>
    <t>Демонтаж.  УСТРОЙСТВО КАМЕР СО СТЕНКАМИ ИЗ БЕТОННЫХ БЛОКОВ 9,0374м3*2,5т/м3=22,594т</t>
  </si>
  <si>
    <t>ТСН-2001.3. Доп.22. Сб.7, т.46, поз.1</t>
  </si>
  <si>
    <t>*0</t>
  </si>
  <si>
    <t>*1,15*0,8</t>
  </si>
  <si>
    <t>ТСН-2001.3-7. 7-31-10, 7-32...7-51</t>
  </si>
  <si>
    <t>ТСН-2001.3-7-4</t>
  </si>
  <si>
    <t>18</t>
  </si>
  <si>
    <t>6.68-13-1</t>
  </si>
  <si>
    <t>МЕХАНИЗИРОВАННАЯ ПОГРУЗКА СТРОИТЕЛЬНОГО МУСОРА В АВТОМОБИЛИ-САМОСВАЛЫ</t>
  </si>
  <si>
    <t>ТСН-2001.6. База. Сб.68, т.13, поз.1</t>
  </si>
  <si>
    <t>*1,1</t>
  </si>
  <si>
    <t>Ремонтно-строительные работы</t>
  </si>
  <si>
    <t>ТСН-2001.6-68. 68-13</t>
  </si>
  <si>
    <t>ТСН-2001.6-68-5</t>
  </si>
  <si>
    <t>19</t>
  </si>
  <si>
    <t>16.1-2601-4</t>
  </si>
  <si>
    <t>КАМЕРЫ ТЕПЛОВЫХ СЕТЕЙ ПО ПРОЕЗДАМ БЕЗ ДОРОЖНЫХ ПОКРЫТИЙ И В ЗЕЛЕНОЙ ЗОНЕ, РАЗМЕР КАМЕР 3,62 Х 4,4 Х 3,06 М</t>
  </si>
  <si>
    <t>камера</t>
  </si>
  <si>
    <t>ТСН-2001.16. База. Сб.1, т.2601, поз.4</t>
  </si>
  <si>
    <t>К=(5,2+4,6)*2*2,5=49/49,0824=0,998; К=0,3- 30% реконструкция</t>
  </si>
  <si>
    <t>*0,998*0,3</t>
  </si>
  <si>
    <t>*1,15*0,998*0,3</t>
  </si>
  <si>
    <t>19,1</t>
  </si>
  <si>
    <t>19,2</t>
  </si>
  <si>
    <t>20</t>
  </si>
  <si>
    <t>16.1-2603-1</t>
  </si>
  <si>
    <t>ТЕХНОЛОГИЧЕСКИЙ УЗЕЛ КАМЕРЫ, ДИАМЕТР ТРУБОПРОВОДА 200-300 ММ</t>
  </si>
  <si>
    <t>узел</t>
  </si>
  <si>
    <t>ТСН-2001.16. База. Сб.1, т.2603, поз.1</t>
  </si>
  <si>
    <t>*0,82</t>
  </si>
  <si>
    <t>*1,15*0,65</t>
  </si>
  <si>
    <t>*1,15*0,73</t>
  </si>
  <si>
    <t>21</t>
  </si>
  <si>
    <t>21,1</t>
  </si>
  <si>
    <t>22</t>
  </si>
  <si>
    <t>23</t>
  </si>
  <si>
    <t>24</t>
  </si>
  <si>
    <t>25</t>
  </si>
  <si>
    <t>26</t>
  </si>
  <si>
    <t>Байпасы: 2Ду400 - 18 п.м; 2Ду200 - 12 п.м</t>
  </si>
  <si>
    <t>27</t>
  </si>
  <si>
    <t>16.1-3030-5</t>
  </si>
  <si>
    <t>НАЗЕМНАЯ ПРОКЛАДКА ТЕПЛОВЫХ СЕТЕЙ ИЗ СТАЛЬНЫХ ЭЛЕКТРОСВАРНЫХ ТРУБ ДИАМЕТРОМ 400ММ</t>
  </si>
  <si>
    <t>ТСН-2001.16. База. Сб.1, т.3030, поз.5</t>
  </si>
  <si>
    <t>28</t>
  </si>
  <si>
    <t>16.1-2601-2</t>
  </si>
  <si>
    <t>КАМЕРЫ ТЕПЛОВЫХ СЕТЕЙ ПО ПРОЕЗДАМ БЕЗ ДОРОЖНЫХ ПОКРЫТИЙ И В ЗЕЛЕНОЙ ЗОНЕ, РАЗМЕР КАМЕР 3,12 Х 3,9 Х 2,6 М</t>
  </si>
  <si>
    <t>ТСН-2001.16. База. Сб.1, т.2601, поз.2</t>
  </si>
  <si>
    <t>К=(4,2+4,2)*2*2=33,6/36,504=0,92</t>
  </si>
  <si>
    <t>*0,92</t>
  </si>
  <si>
    <t>*1,15*0,92</t>
  </si>
  <si>
    <t>28,1</t>
  </si>
  <si>
    <t>28,2</t>
  </si>
  <si>
    <t>29</t>
  </si>
  <si>
    <t>Кинтерполяции для Ду100</t>
  </si>
  <si>
    <t>30</t>
  </si>
  <si>
    <t>16.1-3030-2</t>
  </si>
  <si>
    <t>НАЗЕМНАЯ ПРОКЛАДКА ТЕПЛОВЫХ СЕТЕЙ ИЗ СТАЛЬНЫХ ЭЛЕКТРОСВАРНЫХ ТРУБ ДИАМЕТРОМ 200ММ</t>
  </si>
  <si>
    <t>ТСН-2001.16. База. Сб.1, т.3030, поз.2</t>
  </si>
  <si>
    <t>31</t>
  </si>
  <si>
    <t>К=(3,2+3,2)*2*2=25,6/36,504=0,701</t>
  </si>
  <si>
    <t>*0,701</t>
  </si>
  <si>
    <t>*1,15*0,701</t>
  </si>
  <si>
    <t>31,1</t>
  </si>
  <si>
    <t>31,2</t>
  </si>
  <si>
    <t>32</t>
  </si>
  <si>
    <t>32,1</t>
  </si>
  <si>
    <t>Дог.поставки №ЭК-73/15-ДПЛ от 21.07.15</t>
  </si>
  <si>
    <t>Кран шаровой Броен Балломакс КШТ 61.102.200 с редуктором</t>
  </si>
  <si>
    <t>ШТ</t>
  </si>
  <si>
    <t>Сметная стоимость оборудования</t>
  </si>
  <si>
    <t>ТСН-2001.13-1.</t>
  </si>
  <si>
    <t>ТСН-2001.13-1-1</t>
  </si>
  <si>
    <t>[35 840,77 /  3,22]</t>
  </si>
  <si>
    <t>33</t>
  </si>
  <si>
    <t>33,1</t>
  </si>
  <si>
    <t>34</t>
  </si>
  <si>
    <t>35</t>
  </si>
  <si>
    <t>36</t>
  </si>
  <si>
    <t>37</t>
  </si>
  <si>
    <t>38</t>
  </si>
  <si>
    <t>Демонтаж байпаса</t>
  </si>
  <si>
    <t>39</t>
  </si>
  <si>
    <t>3.24-4-11</t>
  </si>
  <si>
    <t>Демонтаж. НАДЗЕМНАЯ ПРОКЛАДКА ТРУБОПРОВОДОВ ПРИ УСЛОВНОМ ДАВЛЕНИИ 1,6 МПА, ТЕМПЕРАТУРЕ 150 ГР. C ДИАМЕТРОМ ТРУБ, ММ 400  92,56кг/м*36м=3,332т, м/к=0,257т</t>
  </si>
  <si>
    <t>км</t>
  </si>
  <si>
    <t>ТСН-2001.3. Доп.22. Сб.24, т.4, поз.11</t>
  </si>
  <si>
    <t>*1,15*0,6</t>
  </si>
  <si>
    <t>40</t>
  </si>
  <si>
    <t>3.24-4-7</t>
  </si>
  <si>
    <t>Демонтаж.  НАДЗЕМНАЯ ПРОКЛАДКА ТРУБОПРОВОДОВ ПРИ УСЛОВНОМ ДАВЛЕНИИ 1,6 МПА, ТЕМПЕРАТУРЕ 150 ГР. C ДИАМЕТРОМ ТРУБ, ММ 200   31,52кг/м*24м=0,756т, м/к=0,112т</t>
  </si>
  <si>
    <t>ТСН-2001.3. Доп.22. Сб.24, т.4, поз.7</t>
  </si>
  <si>
    <t>41</t>
  </si>
  <si>
    <t>6.66-162-2</t>
  </si>
  <si>
    <t>РАЗБОРКА ТЕПЛОВОЙ ИЗОЛЯЦИИ ИЗ ВАТЫ МИНЕРАЛЬНОЙ  (5,25+1,803)м3*0,2т/м3=1,411т</t>
  </si>
  <si>
    <t>100 м2</t>
  </si>
  <si>
    <t>ТСН-2001.6. База. Сб.66, т.162, поз.2</t>
  </si>
  <si>
    <t>ТСН-2001.6-66. 66-139...66-164</t>
  </si>
  <si>
    <t>ТСН-2001.6-66-22</t>
  </si>
  <si>
    <t>42</t>
  </si>
  <si>
    <t>3.26-52-1</t>
  </si>
  <si>
    <t>Разборка.  ПОКРЫТИЕ ПОВЕРХНОСТИ ИЗОЛЯЦИИ ТРУБОПРОВОДОВ КОЖУХАМИ ИЗ ЛИСТОВ ОЦИНКОВАННОЙ СТАЛИ ТОЛЩИНОЙ 0,55 ММ  7,85кг/м2*97,06м2=0,762т</t>
  </si>
  <si>
    <t>ТСН-2001.3. База. Сб.26, т.52, поз.1</t>
  </si>
  <si>
    <t>ТСН-2001.3-26. 26-1...26-54</t>
  </si>
  <si>
    <t>ТСН-2001.3-26-1</t>
  </si>
  <si>
    <t>43</t>
  </si>
  <si>
    <t>Демонтаж.  УСТРОЙСТВО КАМЕР СО СТЕНКАМИ ИЗ БЕТОННЫХ БЛОКОВ  57,1488м3*2,5т/м3=142,872т</t>
  </si>
  <si>
    <t>44</t>
  </si>
  <si>
    <t>45</t>
  </si>
  <si>
    <t>46</t>
  </si>
  <si>
    <t>Уровень цен</t>
  </si>
  <si>
    <t>Сборник индексов</t>
  </si>
  <si>
    <t>Коэффициенты к ТСН-2001 МГЭ</t>
  </si>
  <si>
    <t>_OBSM_</t>
  </si>
  <si>
    <t>9999990008</t>
  </si>
  <si>
    <t>ТРУДОЗАТРАТЫ РАБОЧИХ (ЭСН)</t>
  </si>
  <si>
    <t>чел.-ч.</t>
  </si>
  <si>
    <t>2.0-0-0</t>
  </si>
  <si>
    <t>СТОИМОСТЬ ПРОЧИХ МАШИН (ЭСН)</t>
  </si>
  <si>
    <t>руб.</t>
  </si>
  <si>
    <t>СТОИМОСТЬ ПРОЧИХ МАТЕРИАЛОВ (ЭСН)</t>
  </si>
  <si>
    <t>2.1-10-14</t>
  </si>
  <si>
    <t>ТСН-2001.2. База. п.1-10-14 (105003)</t>
  </si>
  <si>
    <t>ЭЛЕКТРОКОМПРЕССОРЫ ПРИЦЕПНЫЕ, ПРОИЗВОДИТЕЛЬНОСТЬ ДО 1 М3/МИН</t>
  </si>
  <si>
    <t>маш.-ч</t>
  </si>
  <si>
    <t>2.1-13-15</t>
  </si>
  <si>
    <t>ТСН-2001.2. База. п.1-13-15 (136201)</t>
  </si>
  <si>
    <t>АППАРАТЫ СВАРОЧНЫЕ</t>
  </si>
  <si>
    <t>2.1-17-83</t>
  </si>
  <si>
    <t>ТСН-2001.2. База. п.1-17-83 (171201)</t>
  </si>
  <si>
    <t>МАШИНКИ ДЛЯ ЗАВАРКИ ПРОБОК</t>
  </si>
  <si>
    <t>2.1-18-7</t>
  </si>
  <si>
    <t>ТСН-2001.2. База. п.1-18-7 (183001)</t>
  </si>
  <si>
    <t>АВТОМОБИЛИ ГРУЗОВЫЕ БОРТОВЫЕ, ГРУЗОПОДЪЕМНОСТЬ ДО 5 Т</t>
  </si>
  <si>
    <t>2.1-30-6</t>
  </si>
  <si>
    <t>ТСН-2001.2. База. п.1-30-6 (303701)</t>
  </si>
  <si>
    <t>ДРЕЛИ ЭЛЕКТРИЧЕСКИЕ</t>
  </si>
  <si>
    <t>1.1-1-1463</t>
  </si>
  <si>
    <t>ТСН-2001.1. Доп.19. Р.1, о.1, поз.1463</t>
  </si>
  <si>
    <t>ШКУРКА ШЛИФОВАЛЬНАЯ НА БУМАЖНОЙ ОСНОВЕ</t>
  </si>
  <si>
    <t>1.1-1-27</t>
  </si>
  <si>
    <t>АЦЕТОН СИНТЕТИЧЕСКИЙ</t>
  </si>
  <si>
    <t>кг</t>
  </si>
  <si>
    <t>1.1-1-987</t>
  </si>
  <si>
    <t>ТСН-2001.1. База. Р.1, о.1, поз.987</t>
  </si>
  <si>
    <t>ПРОПАН-БУТАН ГАЗООБРАЗНЫЙ</t>
  </si>
  <si>
    <t>2.1-1-4</t>
  </si>
  <si>
    <t>ТСН-2001.2. База. п.1-1-4 (010105)</t>
  </si>
  <si>
    <t>ЭКСКАВАТОРЫ НА ГУСЕНИЧНОМ ХОДУ ГИДРАВЛИЧЕСКИЕ, ОБЪЕМ КОВША ДО 0,5 М3</t>
  </si>
  <si>
    <t>2.1-1-44</t>
  </si>
  <si>
    <t>ТСН-2001.2. База. п.1-1-44 (012103)</t>
  </si>
  <si>
    <t>БУЛЬДОЗЕРЫ ГУСЕНИЧНЫЕ, МОЩНОСТЬ ДО 79 КВТ (108 Л.С.)</t>
  </si>
  <si>
    <t>2.1-13-10</t>
  </si>
  <si>
    <t>ТСН-2001.2. База. п.1-13-10 (135201)</t>
  </si>
  <si>
    <t>АГРЕГАТЫ СВАРОЧНЫЕ ОДНОПОСТОВЫЕ ДЛЯ РУЧНОЙ ЭЛЕКТРОДУГОВОЙ СВАРКИ</t>
  </si>
  <si>
    <t>2.1-3-35</t>
  </si>
  <si>
    <t>ТСН-2001.2. База. п.1-3-35 (032006)</t>
  </si>
  <si>
    <t>КРАНЫ НА АВТОМОБИЛЬНОМ ХОДУ, ГРУЗОПОДЪЕМНОСТЬ ДО 10 Т</t>
  </si>
  <si>
    <t>2.1-6-52</t>
  </si>
  <si>
    <t>ТСН-2001.2. База. п.1-6-52 (069402)</t>
  </si>
  <si>
    <t>ВИБРАТОРЫ ГЛУБИННЫЕ</t>
  </si>
  <si>
    <t>0930000000</t>
  </si>
  <si>
    <t>АРМАТУРА ДЛЯ МОНОЛИТНЫХ ЖЕЛЕЗОБЕТОННЫХ КОНСТРУКЦИЙ</t>
  </si>
  <si>
    <t>1.1-1-132</t>
  </si>
  <si>
    <t>ТСН-2001.1. База. Р.1, о.1, поз.132</t>
  </si>
  <si>
    <t>ГВОЗДИ СТРОИТЕЛЬНЫЕ</t>
  </si>
  <si>
    <t>1.1-1-1566</t>
  </si>
  <si>
    <t>ТСН-2001.1. Доп.22. Р.1, о.1, поз.1566</t>
  </si>
  <si>
    <t>ЭЛЕКТРОДЫ, ТИП Э-42, 46, 50, ДИАМЕТР 4 - 6 ММ</t>
  </si>
  <si>
    <t>1.1-1-226</t>
  </si>
  <si>
    <t>ТСН-2001.1. База. Р.1, о.1, поз.226</t>
  </si>
  <si>
    <t>ДОСКИ ХВОЙНЫХ ПОРОД, ОБРЕЗНЫЕ, ДЛИНА 2-6,5 М, СОРТ III, ТОЛЩИНА 25-32 ММ</t>
  </si>
  <si>
    <t>1.1-1-51</t>
  </si>
  <si>
    <t>ТСН-2001.1. База. Р.1, о.1, поз.51</t>
  </si>
  <si>
    <t>БИТУМЫ НЕФТЯНЫЕ, КРОВЕЛЬНЫЕ, МАРКА БНК-90/40</t>
  </si>
  <si>
    <t>1.9-11-4</t>
  </si>
  <si>
    <t>ТСН-2001.1. База. Р.9, о.11, поз.4</t>
  </si>
  <si>
    <t>ЩИТЫ ДЕРЕВЯННЫЕ ДЛЯ ФУНДАМЕНТОВ, КОЛОНН, БАЛОК, ПЕРЕКРЫТИЙ, СТЕН, ПЕРЕГОРОДОК И ДРУГИХ КОНСТРУКЦИЙ ИЗ ДОСОК, ТОЛЩИНА 40ММ</t>
  </si>
  <si>
    <t>5296230000</t>
  </si>
  <si>
    <t>ЛЮКИ ЧУГУННЫЕ</t>
  </si>
  <si>
    <t>шт.</t>
  </si>
  <si>
    <t>5745090000</t>
  </si>
  <si>
    <t>СМЕСИ БЕТОННЫЕ, БСГ, ПЕСЧАНОГО БЕТОНА НА ОБОГАЩЕННОМ ПЕСКЕ</t>
  </si>
  <si>
    <t>5745510000</t>
  </si>
  <si>
    <t>РАСТВОР ЦЕМЕНТНЫЙ</t>
  </si>
  <si>
    <t>5858000000</t>
  </si>
  <si>
    <t>СБОРНЫЕ ЖЕЛЕЗОБЕТОННЫЕ КОНСТРУКЦИИ</t>
  </si>
  <si>
    <t>2.1-10-9</t>
  </si>
  <si>
    <t>ТСН-2001.2. База. п.1-10-9 (101101)</t>
  </si>
  <si>
    <t>КОМПРЕССОРЫ С БЕНЗИНОВЫМ ДВИГАТЕЛЕМ ПРИЦЕПНЫЕ, ПРОИЗВОДИТЕЛЬНОСТЬ ДО 5 М3/МИН</t>
  </si>
  <si>
    <t>2.1-13-8</t>
  </si>
  <si>
    <t>ТСН-2001.2. База. п.1-13-8 (135001)</t>
  </si>
  <si>
    <t>АГРЕГАТЫ СВАРОЧНЫЕ ПЕРЕДВИЖНЫЕ С ДИЗЕЛЬНЫМ ДВИГАТЕЛЕМ, НОМИНАЛЬНЫЙ СВАРОЧНЫЙ ТОК 250-400 А</t>
  </si>
  <si>
    <t>2.1-17-6</t>
  </si>
  <si>
    <t>ТСН-2001.2. База. п.1-17-6 (172201)</t>
  </si>
  <si>
    <t>АГРЕГАТЫ НАПОЛНИТЕЛЬНО-ОПРЕССОВОЧНЫЕ ДЛЯ ТРУБ, ПРОИЗВОДИТЕЛЬНОСТЬ ДО 70 М3/ЧАС</t>
  </si>
  <si>
    <t>2.1-30-19</t>
  </si>
  <si>
    <t>ТСН-2001.2. База. п.1-30-19 (305001)</t>
  </si>
  <si>
    <t>МАШИНЫ ШЛИФОВАЛЬНЫЕ ЭЛЕКТРИЧЕСКИЕ</t>
  </si>
  <si>
    <t>2.1-30-46</t>
  </si>
  <si>
    <t>ТСН-2001.2. Доп.11. п.1-30-46 (308001)</t>
  </si>
  <si>
    <t>ПРЕОБРАЗОВАТЕЛИ ЧАСТОТЫ ТОКА ДО 500 А</t>
  </si>
  <si>
    <t>1.1-1-118</t>
  </si>
  <si>
    <t>ТСН-2001.1. База. Р.1, о.1, поз.118</t>
  </si>
  <si>
    <t>ВОДА</t>
  </si>
  <si>
    <t>1.1-1-1602</t>
  </si>
  <si>
    <t>ТСН-2001.1. База. Р.1, о.1, поз.1602</t>
  </si>
  <si>
    <t>КРУГИ ШЛИФОВАЛЬНЫЕ, ДИАМЕТР 230Х3Х22 ММ</t>
  </si>
  <si>
    <t>1.1-1-258</t>
  </si>
  <si>
    <t>ТСН-2001.1. База. Р.1, о.1, поз.258</t>
  </si>
  <si>
    <t>ИЗВЕСТЬ ХЛОРНАЯ</t>
  </si>
  <si>
    <t>1.12-9-37</t>
  </si>
  <si>
    <t>ТСН-2001.1. База. Р.12, о.9, поз.37</t>
  </si>
  <si>
    <t>ФЛАНЦЫ ОТВЕТНЫЕ СТАЛЬНЫЕ ПРИВАРНЫЕ В КОМПЛЕКТЕ (ФЛАНЦЕВ-2, ПРОКЛАДОК-2, БОЛТЫ, ГАЙКИ), ГОСТ 12820-80, УСЛОВНОЕ ДАВЛЕНИЕ 1,6 (16) МПА (КГС/СМ2), ДИАМЕТР УСЛОВНОГО ПРОХОДА, 32ММ</t>
  </si>
  <si>
    <t>1.12-9-41</t>
  </si>
  <si>
    <t>ТСН-2001.1. База. Р.12, о.9, поз.41</t>
  </si>
  <si>
    <t>ФЛАНЦЫ ОТВЕТНЫЕ СТАЛЬНЫЕ ПРИВАРНЫЕ В КОМПЛЕКТЕ (ФЛАНЦЕВ-2, ПРОКЛАДОК-2, БОЛТЫ, ГАЙКИ), ГОСТ 12820-80, УСЛОВНОЕ ДАВЛЕНИЕ 1,6 (16) МПА (КГС/СМ2), ДИАМЕТР УСЛОВНОГО ПРОХОДА, 100ММ</t>
  </si>
  <si>
    <t>1.13-1-30</t>
  </si>
  <si>
    <t>ТСН-2001.1. База. Р.13, о.1, поз.30</t>
  </si>
  <si>
    <t>ВЕНТИЛИ СТАЛЬНЫЕ ПРОХОДНЫЕ, ФЛАНЦЕВЫЕ ДЛЯ ВОДЫ И ПАРА, МАРКА 15С27НЖ1, ДАВЛЕНИЕ 6,4 (64) МПА (КГС/СМ2), ДИАМЕТР 32 ММ</t>
  </si>
  <si>
    <t>1303010000</t>
  </si>
  <si>
    <t>ТРУБЫ СТАЛЬНЫЕ ЭЛЕКТРОСВАРНЫЕ ПРЯМОШОВНЫЕ</t>
  </si>
  <si>
    <t>1468040000</t>
  </si>
  <si>
    <t>ЧАСТИ ФАСОННЫЕ ВОДОПРОВОДНЫЕ СВАРНЫЕ</t>
  </si>
  <si>
    <t>3741210000</t>
  </si>
  <si>
    <t>ЗАДВИЖКИ СТАЛЬНЫЕ</t>
  </si>
  <si>
    <t>5263151000</t>
  </si>
  <si>
    <t>ОПОРЫ СКОЛЬЗЯЩИЕ</t>
  </si>
  <si>
    <t>5263152000</t>
  </si>
  <si>
    <t>ОПОРЫ НЕПОДВИЖНЫЕ</t>
  </si>
  <si>
    <t>2.1-11-90</t>
  </si>
  <si>
    <t>ТСН-2001.2. База. п.1-11-90 (111301)</t>
  </si>
  <si>
    <t>АГРЕГАТЫ ЭЛЕКТРОНАСОСНЫЕ ДЛЯ ОПРЕССОВКИ СОСУДОВ, КОТЛОВ И СИСТЕМ ТРУБОПРОВОДОВ, ПОДАЧА 0,252 М3/Ч</t>
  </si>
  <si>
    <t>2.1-3-34</t>
  </si>
  <si>
    <t>ТСН-2001.2. База. п.1-3-34 (032004)</t>
  </si>
  <si>
    <t>КРАНЫ НА АВТОМОБИЛЬНОМ ХОДУ, ГРУЗОПОДЪЕМНОСТЬ ДО 6,3 Т</t>
  </si>
  <si>
    <t>1.12-9-36</t>
  </si>
  <si>
    <t>ТСН-2001.1. База. Р.12, о.9, поз.36</t>
  </si>
  <si>
    <t>ФЛАНЦЫ ОТВЕТНЫЕ СТАЛЬНЫЕ ПРИВАРНЫЕ В КОМПЛЕКТЕ (ФЛАНЦЕВ-2, ПРОКЛАДОК-2, БОЛТЫ, ГАЙКИ), ГОСТ 12820-80, УСЛОВНОЕ ДАВЛЕНИЕ 1,6 (16) МПА (КГС/СМ2), ДИАМЕТР УСЛОВНОГО ПРОХОДА, 25ММ</t>
  </si>
  <si>
    <t>1.12-9-40</t>
  </si>
  <si>
    <t>ТСН-2001.1. База. Р.12, о.9, поз.40</t>
  </si>
  <si>
    <t>ФЛАНЦЫ ОТВЕТНЫЕ СТАЛЬНЫЕ ПРИВАРНЫЕ В КОМПЛЕКТЕ (ФЛАНЦЕВ-2, ПРОКЛАДОК-2, БОЛТЫ, ГАЙКИ), ГОСТ 12820-80, УСЛОВНОЕ ДАВЛЕНИЕ 1,6 (16) МПА (КГС/СМ2), ДИАМЕТР УСЛОВНОГО ПРОХОДА, 80ММ</t>
  </si>
  <si>
    <t>1.13-1-25</t>
  </si>
  <si>
    <t>ТСН-2001.1. База. Р.13, о.1, поз.25</t>
  </si>
  <si>
    <t>ВЕНТИЛИ СТАЛЬНЫЕ ПРОХОДНЫЕ, ФЛАНЦЕВЫЕ ДЛЯ ВОДЫ И ПАРА, МАРКА 15С22НЖ, ДАВЛЕНИЕ 4,0 (40) МПА (КГС/СМ2), ДИАМЕТР 80 ММ</t>
  </si>
  <si>
    <t>1.13-1-29</t>
  </si>
  <si>
    <t>ТСН-2001.1. База. Р.13, о.1, поз.29</t>
  </si>
  <si>
    <t>ВЕНТИЛИ СТАЛЬНЫЕ ПРОХОДНЫЕ, ФЛАНЦЕВЫЕ ДЛЯ ВОДЫ И ПАРА, МАРКА 15С27НЖ1, ДАВЛЕНИЕ 6,4 (64) МПА (КГС/СМ2), ДИАМЕТР 25 ММ</t>
  </si>
  <si>
    <t>1.1-1-1087</t>
  </si>
  <si>
    <t>СТАЛЬ ЛИСТОВАЯ, ОЦИНКОВАННАЯ, ТОЛЩИНА 0,7-0,8 ММ</t>
  </si>
  <si>
    <t>1.1-1-545</t>
  </si>
  <si>
    <t>ЛЕНТА СТАЛЬНАЯ УПАКОВОЧНАЯ, МЯГКАЯ, НОРМАЛЬНОЙ ТОЧНОСТИ, РАЗМЕР 0,7Х20-50 ММ</t>
  </si>
  <si>
    <t>1.7-1-14</t>
  </si>
  <si>
    <t>ТСН-2001.1. База. Р.7, о.1, поз.14</t>
  </si>
  <si>
    <t>ДЕТАЛИ ПОКРЫТИЯ ИЗ СТАЛИ ЛИСТОВОЙ ОЦИНКОВАННОЙ</t>
  </si>
  <si>
    <t>5775511000</t>
  </si>
  <si>
    <t>КОМПЛЕКТ МАТЕРИАЛОВ ДЛЯ ИЗОЛЯЦИИ СТЫКА</t>
  </si>
  <si>
    <t>(наименование стройки)</t>
  </si>
  <si>
    <t>(локальный сметный расчет)</t>
  </si>
  <si>
    <t>базовая    цена</t>
  </si>
  <si>
    <t>текущая   цена</t>
  </si>
  <si>
    <t>Сметная стоимость</t>
  </si>
  <si>
    <t>тыс.руб</t>
  </si>
  <si>
    <t>Монтажные работы</t>
  </si>
  <si>
    <t>Оборудование</t>
  </si>
  <si>
    <t>Прочие работы</t>
  </si>
  <si>
    <t>Средства на оплату труда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</si>
  <si>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</si>
  <si>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</si>
  <si>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</si>
  <si>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</si>
  <si>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</si>
  <si>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</si>
  <si>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</si>
  <si>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</si>
  <si>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</si>
  <si>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</si>
  <si>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</si>
  <si>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Форма № 1б</t>
  </si>
  <si>
    <t xml:space="preserve">Составлен(а) в уровне текущих (прогнозных) цен Коэффициенты к ТСН-2001 МГЭ октябрь 2016 года </t>
  </si>
  <si>
    <r>
      <t>ПРОКЛАДКА ТЕПЛОВЫХ СЕТЕЙ ИЗ СТАЛЬНЫХ ЭЛЕКТРОСВАРНЫХ ТРУБ В КАНАЛАХ ИЗ СБОРНОГО ЖЕЛЕЗОБЕТОНА ПО ПРОЕЗДАМ С ДОРОЖНЫМИ ПОКРЫТИЯМИ (В ОТВЕСНЫХ СТЕНКАХ С КРЕПЛЕНИЕМ МЕТАЛЛИЧЕСКИМИ ТРУБАМИ), ДИАМЕТР ТРУБ 200 ММ</t>
    </r>
    <r>
      <rPr>
        <i/>
        <sz val="10"/>
        <rFont val="Arial"/>
        <family val="2"/>
        <charset val="204"/>
      </rPr>
      <t xml:space="preserve">
Кинтерполяции для Ду80; К=0,96-непроходной канал</t>
    </r>
  </si>
  <si>
    <t>ВСЕГО: в т.ч.</t>
  </si>
  <si>
    <t>ЗП с НР и СП</t>
  </si>
  <si>
    <t>ЭМ с НР и СП</t>
  </si>
  <si>
    <t>МР</t>
  </si>
  <si>
    <t>к нр *0,90*0,96</t>
  </si>
  <si>
    <t>Объем грунта, м3</t>
  </si>
  <si>
    <t>Масса мусора, т</t>
  </si>
  <si>
    <t>ЗП</t>
  </si>
  <si>
    <t>ЭМ</t>
  </si>
  <si>
    <t>в т.ч. ЗПМ</t>
  </si>
  <si>
    <t>НР от ЗП</t>
  </si>
  <si>
    <t>%</t>
  </si>
  <si>
    <t>СП от ЗП</t>
  </si>
  <si>
    <t>НР и СП от ЗПМ</t>
  </si>
  <si>
    <t>ЗТР</t>
  </si>
  <si>
    <t>чел-ч</t>
  </si>
  <si>
    <r>
      <t>БЕСКАНАЛЬНАЯ ПРОКЛАДКА ТРУБОПРОВОДОВ ИЗ СТАЛЬНЫХ ТРУБ С ТЕПЛОИЗОЛЯЦИЕЙ ИЗ ПЕНОПОЛИУРЕТАНА ПО ПРОЕЗДАМ БЕЗ ДОРОЖНЫХ ПОКРЫТИЙ И В ЗЕЛЕНОЙ ЗОНЕ (В ОТВЕСНЫХ СТЕНКАХ С КРЕПЛЕНИЕМ ИНВЕНТАРНЫМИ ЩИТАМИ), ДИАМЕТР ТРУБ 200 ММ</t>
    </r>
    <r>
      <rPr>
        <i/>
        <sz val="10"/>
        <rFont val="Arial"/>
        <family val="2"/>
        <charset val="204"/>
      </rPr>
      <t xml:space="preserve">
Кинтерполяции для Ду80</t>
    </r>
  </si>
  <si>
    <t>к нр *0,70</t>
  </si>
  <si>
    <r>
      <t>КАМЕРЫ ТЕПЛОВЫХ СЕТЕЙ ПО ПРОЕЗДАМ БЕЗ ДОРОЖНЫХ ПОКРЫТИЙ И В ЗЕЛЕНОЙ ЗОНЕ, РАЗМЕР КАМЕР 3,62 Х 4,4 Х 3,06 М</t>
    </r>
    <r>
      <rPr>
        <i/>
        <sz val="10"/>
        <rFont val="Arial"/>
        <family val="2"/>
        <charset val="204"/>
      </rPr>
      <t xml:space="preserve">
К=(5,2+4,6)*2*2,5=49/49,0824=0,998; К=0,3- 30% реконструкция</t>
    </r>
  </si>
  <si>
    <t>к нр *0,998*0,3</t>
  </si>
  <si>
    <r>
      <t>ТЕХНОЛОГИЧЕСКИЙ УЗЕЛ КАМЕРЫ, ДИАМЕТР ТРУБОПРОВОДА 200-300 ММ</t>
    </r>
    <r>
      <rPr>
        <i/>
        <sz val="10"/>
        <rFont val="Arial"/>
        <family val="2"/>
        <charset val="204"/>
      </rPr>
      <t xml:space="preserve">
Кинтерполяции для Ду80</t>
    </r>
  </si>
  <si>
    <r>
      <t>КАМЕРЫ ТЕПЛОВЫХ СЕТЕЙ ПО ПРОЕЗДАМ БЕЗ ДОРОЖНЫХ ПОКРЫТИЙ И В ЗЕЛЕНОЙ ЗОНЕ, РАЗМЕР КАМЕР 3,12 Х 3,9 Х 2,6 М</t>
    </r>
    <r>
      <rPr>
        <i/>
        <sz val="10"/>
        <rFont val="Arial"/>
        <family val="2"/>
        <charset val="204"/>
      </rPr>
      <t xml:space="preserve">
К=(4,2+4,2)*2*2=33,6/36,504=0,92</t>
    </r>
  </si>
  <si>
    <t>к нр *0,92</t>
  </si>
  <si>
    <r>
      <t>ТЕХНОЛОГИЧЕСКИЙ УЗЕЛ КАМЕРЫ, ДИАМЕТР ТРУБОПРОВОДА 200-300 ММ</t>
    </r>
    <r>
      <rPr>
        <i/>
        <sz val="10"/>
        <rFont val="Arial"/>
        <family val="2"/>
        <charset val="204"/>
      </rPr>
      <t xml:space="preserve">
Кинтерполяции для Ду100</t>
    </r>
  </si>
  <si>
    <r>
      <t>КАМЕРЫ ТЕПЛОВЫХ СЕТЕЙ ПО ПРОЕЗДАМ БЕЗ ДОРОЖНЫХ ПОКРЫТИЙ И В ЗЕЛЕНОЙ ЗОНЕ, РАЗМЕР КАМЕР 3,12 Х 3,9 Х 2,6 М</t>
    </r>
    <r>
      <rPr>
        <i/>
        <sz val="10"/>
        <rFont val="Arial"/>
        <family val="2"/>
        <charset val="204"/>
      </rPr>
      <t xml:space="preserve">
К=(3,2+3,2)*2*2=25,6/36,504=0,701</t>
    </r>
  </si>
  <si>
    <t>к нр *0,701</t>
  </si>
  <si>
    <r>
      <t>Кран шаровой Броен Балломакс КШТ 61.102.200 с редуктором</t>
    </r>
    <r>
      <rPr>
        <i/>
        <sz val="10"/>
        <rFont val="Arial"/>
        <family val="2"/>
        <charset val="204"/>
      </rPr>
      <t xml:space="preserve">
Базисная стоимость: 11 130,67 = [35 840,77 /  3,22]</t>
    </r>
  </si>
  <si>
    <t xml:space="preserve">Составил   </t>
  </si>
  <si>
    <t>[должность,подпись(инициалы,фамилия)]</t>
  </si>
  <si>
    <t xml:space="preserve">Проверил   </t>
  </si>
  <si>
    <t>Временные здания и сооружения 1,5% от СМР</t>
  </si>
  <si>
    <t>Итого с временными зданиями и сооружениями</t>
  </si>
  <si>
    <t>Непредвиденные затраты 3%</t>
  </si>
  <si>
    <t>Итого по смете с непредвиденными затратами, в т.ч:</t>
  </si>
  <si>
    <t xml:space="preserve">Возвратные суммы от сдачи металлолома (Приказ № МКЭ-ОД/16-9 от 03.03.2016г): </t>
  </si>
  <si>
    <t>Н.И. Диченко</t>
  </si>
  <si>
    <t xml:space="preserve">Вид лома 12А:   7 400 руб/т * 0,94 = 6 956 руб/т * (3,332+0,257+0,756+0,112+0,762)т, руб.  </t>
  </si>
  <si>
    <t>Поправить формулу в объеме 46,4+16,775+30,866</t>
  </si>
  <si>
    <t>Итого   с  коэффициентом  инфляции  с  октября 2016  на  январь  2017:   К=</t>
  </si>
  <si>
    <t xml:space="preserve"> (Распоряжение № 27-Р от 17.09.2015г.)</t>
  </si>
  <si>
    <t>Ведущий специалист расчетно-сметного сектора ОСД СНС</t>
  </si>
  <si>
    <t>В.А. Киселев</t>
  </si>
  <si>
    <t>Начальник расчетно-сметного сектора ОСД СНС</t>
  </si>
  <si>
    <t>Расчет договорной цены (ЛОКАЛЬНАЯ СМЕТА)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</si>
</sst>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\ #,##0.00"/>
    <numFmt numFmtId="165" formatCode="mmmm"/>
    <numFmt numFmtId="166" formatCode="#,##0.00####;[Red]\-\ #,##0.00####"/>
    <numFmt numFmtId="167" formatCode="#,##0.00_ ;[Red]\-#,##0.00\ "/>
  </numFmts>
  <fonts count="21" x14ac:knownFonts="1">
    <font>
      <sz val="10"/>
      <name val="Arial"/>
      <charset val="204"/>
    </font>
    <font>
      <b/>
      <sz val="10"/>
      <color indexed="12"/>
      <name val="Arial"/>
      <charset val="204"/>
    </font>
    <font>
      <b/>
      <sz val="10"/>
      <color indexed="16"/>
      <name val="Arial"/>
      <charset val="204"/>
    </font>
    <font>
      <b/>
      <sz val="10"/>
      <color indexed="20"/>
      <name val="Arial"/>
      <charset val="204"/>
    </font>
    <font>
      <b/>
      <sz val="10"/>
      <color indexed="17"/>
      <name val="Arial"/>
      <charset val="204"/>
    </font>
    <font>
      <sz val="10"/>
      <color indexed="17"/>
      <name val="Arial"/>
      <charset val="204"/>
    </font>
    <font>
      <sz val="10"/>
      <color indexed="12"/>
      <name val="Arial"/>
      <charset val="204"/>
    </font>
    <font>
      <sz val="10"/>
      <color indexed="14"/>
      <name val="Arial"/>
      <charset val="204"/>
    </font>
    <font>
      <b/>
      <sz val="10"/>
      <color indexed="14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0000F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0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164" fontId="11" fillId="0" borderId="0" xfId="0" applyNumberFormat="1" applyFont="1"/>
    <xf numFmtId="165" fontId="11" fillId="0" borderId="0" xfId="0" applyNumberFormat="1" applyFont="1"/>
    <xf numFmtId="1" fontId="11" fillId="0" borderId="0" xfId="0" applyNumberFormat="1" applyFont="1"/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166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quotePrefix="1" applyFont="1" applyAlignment="1">
      <alignment horizontal="right" wrapText="1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right"/>
    </xf>
    <xf numFmtId="166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17" fillId="0" borderId="0" xfId="0" applyFont="1" applyAlignment="1">
      <alignment horizontal="left" wrapText="1"/>
    </xf>
    <xf numFmtId="0" fontId="11" fillId="0" borderId="1" xfId="0" applyFont="1" applyBorder="1"/>
    <xf numFmtId="0" fontId="9" fillId="0" borderId="0" xfId="0" applyFont="1"/>
    <xf numFmtId="0" fontId="18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9" fillId="0" borderId="4" xfId="0" applyFont="1" applyBorder="1"/>
    <xf numFmtId="164" fontId="9" fillId="0" borderId="0" xfId="0" applyNumberFormat="1" applyFont="1"/>
    <xf numFmtId="0" fontId="20" fillId="0" borderId="0" xfId="0" applyFont="1" applyFill="1" applyAlignment="1">
      <alignment wrapText="1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9" fillId="0" borderId="0" xfId="0" applyFont="1" applyFill="1" applyAlignment="1">
      <alignment wrapText="1"/>
    </xf>
    <xf numFmtId="0" fontId="17" fillId="0" borderId="0" xfId="0" applyFont="1" applyAlignment="1">
      <alignment horizontal="left"/>
    </xf>
    <xf numFmtId="0" fontId="17" fillId="0" borderId="0" xfId="0" applyFont="1"/>
    <xf numFmtId="4" fontId="17" fillId="0" borderId="0" xfId="0" applyNumberFormat="1" applyFont="1"/>
    <xf numFmtId="0" fontId="19" fillId="0" borderId="0" xfId="0" applyFont="1"/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1" xfId="0" applyFont="1" applyBorder="1" applyAlignment="1">
      <alignment horizontal="right"/>
    </xf>
    <xf numFmtId="0" fontId="19" fillId="0" borderId="5" xfId="0" applyFont="1" applyBorder="1" applyAlignment="1">
      <alignment horizontal="center"/>
    </xf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right"/>
    </xf>
    <xf numFmtId="0" fontId="17" fillId="0" borderId="0" xfId="0" applyFont="1" applyAlignment="1">
      <alignment horizontal="left" wrapText="1"/>
    </xf>
    <xf numFmtId="164" fontId="17" fillId="0" borderId="0" xfId="0" applyNumberFormat="1" applyFont="1" applyAlignment="1">
      <alignment horizontal="right"/>
    </xf>
    <xf numFmtId="167" fontId="17" fillId="0" borderId="0" xfId="0" applyNumberFormat="1" applyFont="1" applyAlignment="1">
      <alignment horizontal="right"/>
    </xf>
    <xf numFmtId="166" fontId="17" fillId="0" borderId="0" xfId="0" applyNumberFormat="1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164" fontId="17" fillId="0" borderId="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3;&#1074;&#1086;&#1089;&#1090;-&#1057;&#1062;&#1080;&#1057;&#105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3;&#1074;&#1086;&#1089;&#1090;-&#1042;&#1077;&#1088;&#1085;&#1099;&#108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по ТСН-2001"/>
      <sheetName val="Source"/>
      <sheetName val="SourceObSm"/>
      <sheetName val="SmtRes"/>
      <sheetName val="Etalon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по ТСН-2001"/>
      <sheetName val="Source"/>
      <sheetName val="SourceObSm"/>
      <sheetName val="SmtRes"/>
      <sheetName val="EtalonRes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4"/>
  <sheetViews>
    <sheetView tabSelected="1" view="pageBreakPreview" zoomScale="80" zoomScaleNormal="100" zoomScaleSheetLayoutView="80" workbookViewId="0">
      <selection activeCell="K400" sqref="K400"/>
    </sheetView>
  </sheetViews>
  <sheetFormatPr defaultRowHeight="12.75" x14ac:dyDescent="0.2"/>
  <cols>
    <col min="1" max="1" width="5.7109375" style="37" customWidth="1"/>
    <col min="2" max="2" width="11.7109375" style="37" customWidth="1"/>
    <col min="3" max="3" width="40.7109375" style="37" customWidth="1"/>
    <col min="4" max="6" width="11.7109375" style="37" customWidth="1"/>
    <col min="7" max="7" width="12.7109375" style="37" customWidth="1"/>
    <col min="8" max="8" width="10.7109375" style="37" customWidth="1"/>
    <col min="9" max="10" width="12.7109375" style="37" customWidth="1"/>
    <col min="11" max="11" width="18" style="37" customWidth="1"/>
    <col min="12" max="12" width="36.140625" style="37" customWidth="1"/>
    <col min="13" max="14" width="9.140625" style="37"/>
    <col min="15" max="30" width="0" style="37" hidden="1" customWidth="1"/>
    <col min="31" max="31" width="150.7109375" style="37" hidden="1" customWidth="1"/>
    <col min="32" max="32" width="104.7109375" style="37" hidden="1" customWidth="1"/>
    <col min="33" max="36" width="0" style="37" hidden="1" customWidth="1"/>
    <col min="37" max="16384" width="9.140625" style="37"/>
  </cols>
  <sheetData>
    <row r="1" spans="1:31" x14ac:dyDescent="0.2">
      <c r="A1" s="9" t="str">
        <f>CONCATENATE(Source!B1, "     ТСН-2001 (© ОАО МЦЦС 'Мосстройцены', 2006)")</f>
        <v>Smeta.RU  (495) 974-1589     ТСН-2001 (© ОАО МЦЦС 'Мосстройцены', 2006)</v>
      </c>
    </row>
    <row r="2" spans="1:31" ht="14.25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 t="s">
        <v>440</v>
      </c>
    </row>
    <row r="3" spans="1:31" ht="36.75" customHeight="1" x14ac:dyDescent="0.2">
      <c r="A3" s="62" t="s">
        <v>12</v>
      </c>
      <c r="B3" s="62"/>
      <c r="C3" s="62"/>
      <c r="D3" s="62"/>
      <c r="E3" s="62"/>
      <c r="F3" s="62"/>
      <c r="G3" s="62"/>
      <c r="H3" s="62"/>
      <c r="I3" s="62"/>
      <c r="J3" s="62"/>
      <c r="K3" s="62"/>
    </row>
    <row r="4" spans="1:31" x14ac:dyDescent="0.2">
      <c r="A4" s="63" t="s">
        <v>419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31" ht="14.2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31" ht="15.75" x14ac:dyDescent="0.25">
      <c r="A6" s="64" t="s">
        <v>486</v>
      </c>
      <c r="B6" s="65"/>
      <c r="C6" s="65"/>
      <c r="D6" s="65"/>
      <c r="E6" s="65"/>
      <c r="F6" s="65"/>
      <c r="G6" s="65"/>
      <c r="H6" s="65"/>
      <c r="I6" s="65"/>
      <c r="J6" s="65"/>
      <c r="K6" s="65"/>
      <c r="AE6" s="11" t="str">
        <f>CONCATENATE( "ЛОКАЛЬНАЯ СМЕТА № ",IF(Source!F20&lt;&gt;"Новая локальная смета", Source!F20, ""))</f>
        <v xml:space="preserve">ЛОКАЛЬНАЯ СМЕТА № </v>
      </c>
    </row>
    <row r="7" spans="1:31" x14ac:dyDescent="0.2">
      <c r="A7" s="66" t="s">
        <v>420</v>
      </c>
      <c r="B7" s="66"/>
      <c r="C7" s="66"/>
      <c r="D7" s="66"/>
      <c r="E7" s="66"/>
      <c r="F7" s="66"/>
      <c r="G7" s="66"/>
      <c r="H7" s="66"/>
      <c r="I7" s="66"/>
      <c r="J7" s="66"/>
      <c r="K7" s="66"/>
    </row>
    <row r="8" spans="1:31" ht="14.25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</row>
    <row r="9" spans="1:31" ht="14.25" x14ac:dyDescent="0.2">
      <c r="A9" s="56" t="str">
        <f>CONCATENATE( "Основание: Ведомость объемов работ ", Source!J20)</f>
        <v xml:space="preserve">Основание: Ведомость объемов работ </v>
      </c>
      <c r="B9" s="56"/>
      <c r="C9" s="56"/>
      <c r="D9" s="56"/>
      <c r="E9" s="56"/>
      <c r="F9" s="56"/>
      <c r="G9" s="56"/>
      <c r="H9" s="56"/>
      <c r="I9" s="56"/>
      <c r="J9" s="56"/>
      <c r="K9" s="56"/>
      <c r="AE9" s="12" t="str">
        <f>CONCATENATE( "Основание: чертежи № ", Source!J20)</f>
        <v xml:space="preserve">Основание: чертежи № </v>
      </c>
    </row>
    <row r="10" spans="1:31" ht="28.5" x14ac:dyDescent="0.2">
      <c r="A10" s="10"/>
      <c r="B10" s="10"/>
      <c r="C10" s="10"/>
      <c r="D10" s="10"/>
      <c r="E10" s="10"/>
      <c r="F10" s="10"/>
      <c r="G10" s="10"/>
      <c r="H10" s="10"/>
      <c r="I10" s="13" t="s">
        <v>421</v>
      </c>
      <c r="J10" s="13" t="s">
        <v>422</v>
      </c>
      <c r="K10" s="10"/>
    </row>
    <row r="11" spans="1:31" ht="14.25" x14ac:dyDescent="0.2">
      <c r="A11" s="10"/>
      <c r="B11" s="10"/>
      <c r="C11" s="10"/>
      <c r="D11" s="10"/>
      <c r="E11" s="10"/>
      <c r="F11" s="53" t="s">
        <v>423</v>
      </c>
      <c r="G11" s="53"/>
      <c r="H11" s="53"/>
      <c r="I11" s="15">
        <f>SUM(O21:O385)/1000</f>
        <v>1564.5245199999999</v>
      </c>
      <c r="J11" s="15">
        <f>(Source!F266/1000)</f>
        <v>11444.571529999999</v>
      </c>
      <c r="K11" s="10" t="s">
        <v>424</v>
      </c>
    </row>
    <row r="12" spans="1:31" ht="14.25" x14ac:dyDescent="0.2">
      <c r="A12" s="10"/>
      <c r="B12" s="10"/>
      <c r="C12" s="10"/>
      <c r="D12" s="10"/>
      <c r="E12" s="10"/>
      <c r="F12" s="53" t="s">
        <v>48</v>
      </c>
      <c r="G12" s="53"/>
      <c r="H12" s="53"/>
      <c r="I12" s="15">
        <f>SUM(X21:X385)/1000</f>
        <v>1379.3981399999998</v>
      </c>
      <c r="J12" s="15">
        <f>(Source!F257)/1000</f>
        <v>10524.714250000001</v>
      </c>
      <c r="K12" s="10" t="s">
        <v>424</v>
      </c>
    </row>
    <row r="13" spans="1:31" ht="14.25" x14ac:dyDescent="0.2">
      <c r="A13" s="10"/>
      <c r="B13" s="10"/>
      <c r="C13" s="10"/>
      <c r="D13" s="10"/>
      <c r="E13" s="10"/>
      <c r="F13" s="53" t="s">
        <v>425</v>
      </c>
      <c r="G13" s="53"/>
      <c r="H13" s="53"/>
      <c r="I13" s="15">
        <f>SUM(Y21:Y385)/1000</f>
        <v>0</v>
      </c>
      <c r="J13" s="15">
        <f>(Source!F258)/1000</f>
        <v>0</v>
      </c>
      <c r="K13" s="10" t="s">
        <v>424</v>
      </c>
    </row>
    <row r="14" spans="1:31" ht="14.25" x14ac:dyDescent="0.2">
      <c r="A14" s="10"/>
      <c r="B14" s="10"/>
      <c r="C14" s="10"/>
      <c r="D14" s="10"/>
      <c r="E14" s="10"/>
      <c r="F14" s="53" t="s">
        <v>426</v>
      </c>
      <c r="G14" s="53"/>
      <c r="H14" s="53"/>
      <c r="I14" s="15">
        <f>SUM(Z21:Z385)/1000</f>
        <v>22.261340000000001</v>
      </c>
      <c r="J14" s="15">
        <f>(Source!F251)/1000</f>
        <v>94.388080000000002</v>
      </c>
      <c r="K14" s="10" t="s">
        <v>424</v>
      </c>
    </row>
    <row r="15" spans="1:31" ht="14.25" x14ac:dyDescent="0.2">
      <c r="A15" s="10"/>
      <c r="B15" s="10"/>
      <c r="C15" s="10"/>
      <c r="D15" s="10"/>
      <c r="E15" s="10"/>
      <c r="F15" s="53" t="s">
        <v>427</v>
      </c>
      <c r="G15" s="53"/>
      <c r="H15" s="53"/>
      <c r="I15" s="15">
        <f>SUM(AA21:AA385)/1000</f>
        <v>162.86504000000002</v>
      </c>
      <c r="J15" s="15">
        <f>(Source!F259)/1000</f>
        <v>825.4692</v>
      </c>
      <c r="K15" s="10" t="s">
        <v>424</v>
      </c>
    </row>
    <row r="16" spans="1:31" ht="14.25" x14ac:dyDescent="0.2">
      <c r="A16" s="10"/>
      <c r="B16" s="10"/>
      <c r="C16" s="10"/>
      <c r="D16" s="10"/>
      <c r="E16" s="10"/>
      <c r="F16" s="53" t="s">
        <v>428</v>
      </c>
      <c r="G16" s="53"/>
      <c r="H16" s="53"/>
      <c r="I16" s="15">
        <f>SUM(W21:W385)/1000</f>
        <v>267.34045000000003</v>
      </c>
      <c r="J16" s="15">
        <f>(Source!F256+ Source!F255)/1000</f>
        <v>3904.3252800000005</v>
      </c>
      <c r="K16" s="10" t="s">
        <v>424</v>
      </c>
    </row>
    <row r="17" spans="1:31" ht="14.25" x14ac:dyDescent="0.2">
      <c r="A17" s="10"/>
      <c r="B17" s="10"/>
      <c r="C17" s="10"/>
      <c r="D17" s="10"/>
      <c r="E17" s="10"/>
      <c r="F17" s="14"/>
      <c r="G17" s="14"/>
      <c r="H17" s="14"/>
      <c r="I17" s="15"/>
      <c r="J17" s="15"/>
      <c r="K17" s="10"/>
    </row>
    <row r="18" spans="1:31" ht="14.25" x14ac:dyDescent="0.2">
      <c r="A18" s="10" t="s">
        <v>441</v>
      </c>
      <c r="B18" s="10"/>
      <c r="C18" s="10"/>
      <c r="D18" s="16"/>
      <c r="E18" s="17"/>
      <c r="F18" s="10"/>
      <c r="G18" s="10"/>
      <c r="H18" s="10"/>
      <c r="I18" s="10"/>
      <c r="J18" s="10"/>
      <c r="K18" s="10"/>
    </row>
    <row r="19" spans="1:31" ht="57" x14ac:dyDescent="0.2">
      <c r="A19" s="18" t="s">
        <v>429</v>
      </c>
      <c r="B19" s="18" t="s">
        <v>430</v>
      </c>
      <c r="C19" s="18" t="s">
        <v>431</v>
      </c>
      <c r="D19" s="18" t="s">
        <v>432</v>
      </c>
      <c r="E19" s="18" t="s">
        <v>433</v>
      </c>
      <c r="F19" s="18" t="s">
        <v>434</v>
      </c>
      <c r="G19" s="19" t="s">
        <v>435</v>
      </c>
      <c r="H19" s="19" t="s">
        <v>436</v>
      </c>
      <c r="I19" s="18" t="s">
        <v>437</v>
      </c>
      <c r="J19" s="18" t="s">
        <v>438</v>
      </c>
      <c r="K19" s="18" t="s">
        <v>439</v>
      </c>
    </row>
    <row r="20" spans="1:31" ht="14.25" x14ac:dyDescent="0.2">
      <c r="A20" s="18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18">
        <v>9</v>
      </c>
      <c r="J20" s="18">
        <v>10</v>
      </c>
      <c r="K20" s="18">
        <v>11</v>
      </c>
    </row>
    <row r="22" spans="1:31" ht="16.5" x14ac:dyDescent="0.25">
      <c r="A22" s="67" t="str">
        <f>CONCATENATE("Раздел: ",IF(Source!G24&lt;&gt;"Новый раздел", Source!G24, ""))</f>
        <v>Раздел: Тепловая сеть 2Ду80 ППУ-ПЭ в непроходном канале - 50 п.м</v>
      </c>
      <c r="B22" s="67"/>
      <c r="C22" s="67"/>
      <c r="D22" s="67"/>
      <c r="E22" s="67"/>
      <c r="F22" s="67"/>
      <c r="G22" s="67"/>
      <c r="H22" s="67"/>
      <c r="I22" s="67"/>
      <c r="J22" s="67"/>
      <c r="K22" s="67"/>
      <c r="AE22" s="20" t="str">
        <f>CONCATENATE("Раздел: ",IF(Source!G24&lt;&gt;"Новый раздел", Source!G24, ""))</f>
        <v>Раздел: Тепловая сеть 2Ду80 ППУ-ПЭ в непроходном канале - 50 п.м</v>
      </c>
    </row>
    <row r="23" spans="1:31" ht="139.5" x14ac:dyDescent="0.2">
      <c r="A23" s="21" t="str">
        <f>Source!E28</f>
        <v>1</v>
      </c>
      <c r="B23" s="22" t="str">
        <f>Source!F28</f>
        <v>16.1-3021-1</v>
      </c>
      <c r="C23" s="22" t="s">
        <v>442</v>
      </c>
      <c r="D23" s="24" t="str">
        <f>Source!H28</f>
        <v>м</v>
      </c>
      <c r="E23" s="23">
        <f>Source!I28</f>
        <v>50</v>
      </c>
      <c r="F23" s="26"/>
      <c r="G23" s="25"/>
      <c r="H23" s="23"/>
      <c r="I23" s="27"/>
      <c r="J23" s="23"/>
      <c r="K23" s="27"/>
      <c r="Q23" s="37">
        <f>ROUND((Source!DN28/100)*ROUND((Source!AF28*Source!AV28)*Source!I28, 2), 2)</f>
        <v>0</v>
      </c>
      <c r="R23" s="37">
        <f>Source!X28</f>
        <v>0</v>
      </c>
      <c r="S23" s="37">
        <f>ROUND((Source!DO28/100)*ROUND((Source!AF28*Source!AV28)*Source!I28, 2), 2)</f>
        <v>0</v>
      </c>
      <c r="T23" s="37">
        <f>Source!Y28</f>
        <v>0</v>
      </c>
      <c r="U23" s="37">
        <f>ROUND((175/100)*ROUND((Source!AE28*Source!AV28)*Source!I28, 2), 2)</f>
        <v>0</v>
      </c>
      <c r="V23" s="37">
        <f>ROUND((167/100)*ROUND(Source!CS28*Source!I28, 2), 2)</f>
        <v>0</v>
      </c>
    </row>
    <row r="24" spans="1:31" ht="14.25" x14ac:dyDescent="0.2">
      <c r="A24" s="21"/>
      <c r="B24" s="22"/>
      <c r="C24" s="22" t="s">
        <v>443</v>
      </c>
      <c r="D24" s="24"/>
      <c r="E24" s="23"/>
      <c r="F24" s="26"/>
      <c r="G24" s="25"/>
      <c r="H24" s="23"/>
      <c r="I24" s="27">
        <f>I25+I26+I27+I28+SUM(I29:I32)</f>
        <v>565829.89</v>
      </c>
      <c r="J24" s="23"/>
      <c r="K24" s="27">
        <f>K25+K26+K27+K28+SUM(K29:K32)</f>
        <v>4385569.7300000004</v>
      </c>
    </row>
    <row r="25" spans="1:31" ht="28.5" x14ac:dyDescent="0.2">
      <c r="A25" s="21"/>
      <c r="B25" s="22"/>
      <c r="C25" s="22" t="s">
        <v>444</v>
      </c>
      <c r="D25" s="24"/>
      <c r="E25" s="23"/>
      <c r="F25" s="26">
        <f>Source!AO28</f>
        <v>2052</v>
      </c>
      <c r="G25" s="25" t="str">
        <f>Source!DG28</f>
        <v>*1,15*0,94*0,96</v>
      </c>
      <c r="H25" s="23">
        <f>Source!AV28</f>
        <v>1</v>
      </c>
      <c r="I25" s="27">
        <f>ROUND((Source!AF28*Source!AV28)*Source!I28, 2)</f>
        <v>106474.18</v>
      </c>
      <c r="J25" s="23">
        <f>IF(Source!BA28&lt;&gt; 0, Source!BA28, 1)</f>
        <v>14.14</v>
      </c>
      <c r="K25" s="27">
        <f>Source!S28</f>
        <v>1505544.85</v>
      </c>
      <c r="W25" s="37">
        <f>ROUND((Source!AF28*Source!AV28)*Source!I28, 2)</f>
        <v>106474.18</v>
      </c>
    </row>
    <row r="26" spans="1:31" ht="28.5" x14ac:dyDescent="0.2">
      <c r="A26" s="21"/>
      <c r="B26" s="22"/>
      <c r="C26" s="22" t="s">
        <v>445</v>
      </c>
      <c r="D26" s="24"/>
      <c r="E26" s="23"/>
      <c r="F26" s="26">
        <f>Source!AM28</f>
        <v>1478</v>
      </c>
      <c r="G26" s="25" t="str">
        <f>Source!DE28</f>
        <v>*1,15*0,96*0,96</v>
      </c>
      <c r="H26" s="23">
        <f>Source!AV28</f>
        <v>1</v>
      </c>
      <c r="I26" s="27">
        <f>ROUND((Source!AD28*Source!AV28)*Source!I28, 2)</f>
        <v>78322.179999999993</v>
      </c>
      <c r="J26" s="23">
        <f>IF(Source!BB28&lt;&gt; 0, Source!BB28, 1)</f>
        <v>10.56</v>
      </c>
      <c r="K26" s="27">
        <f>Source!Q28</f>
        <v>827082.18</v>
      </c>
    </row>
    <row r="27" spans="1:31" ht="14.25" x14ac:dyDescent="0.2">
      <c r="A27" s="21"/>
      <c r="B27" s="22"/>
      <c r="C27" s="22" t="s">
        <v>446</v>
      </c>
      <c r="D27" s="24"/>
      <c r="E27" s="23"/>
      <c r="F27" s="26">
        <f>Source!AL28</f>
        <v>8000</v>
      </c>
      <c r="G27" s="25" t="str">
        <f>Source!DD28</f>
        <v>*0,90*0,96</v>
      </c>
      <c r="H27" s="23">
        <f>Source!AW28</f>
        <v>1</v>
      </c>
      <c r="I27" s="27">
        <f>ROUND((Source!AC28*Source!AW28)*Source!I28, 2)</f>
        <v>345600</v>
      </c>
      <c r="J27" s="23">
        <f>IF(Source!BC28&lt;&gt; 0, Source!BC28, 1)</f>
        <v>5.71</v>
      </c>
      <c r="K27" s="27">
        <f>Source!P28</f>
        <v>1973376</v>
      </c>
    </row>
    <row r="28" spans="1:31" ht="14.25" x14ac:dyDescent="0.2">
      <c r="A28" s="21"/>
      <c r="B28" s="22"/>
      <c r="C28" s="22" t="s">
        <v>120</v>
      </c>
      <c r="D28" s="24"/>
      <c r="E28" s="23"/>
      <c r="F28" s="26">
        <f>Source!GT28</f>
        <v>0</v>
      </c>
      <c r="G28" s="25"/>
      <c r="H28" s="23"/>
      <c r="I28" s="27">
        <f>Source!GT28*Source!I28</f>
        <v>0</v>
      </c>
      <c r="J28" s="23">
        <f>IF(Source!GU28&lt;&gt; 0, Source!GU28, 1)</f>
        <v>1</v>
      </c>
      <c r="K28" s="27">
        <f>Source!GT28*Source!GU28*Source!I28</f>
        <v>0</v>
      </c>
    </row>
    <row r="29" spans="1:31" ht="42.75" x14ac:dyDescent="0.2">
      <c r="A29" s="21" t="str">
        <f>Source!E29</f>
        <v>1,1</v>
      </c>
      <c r="B29" s="22" t="str">
        <f>Source!F29</f>
        <v>1.1-1-629</v>
      </c>
      <c r="C29" s="22" t="str">
        <f>Source!G29</f>
        <v>МАТЫ МИНЕРАЛОВАТНЫЕ ПРОШИВНЫЕ БЕЗ ОБКЛАДОК, МАРКА 75-100, ТОЛЩИНА 60 ММ</v>
      </c>
      <c r="D29" s="24" t="str">
        <f>Source!H29</f>
        <v>м3</v>
      </c>
      <c r="E29" s="23">
        <f>Source!I29</f>
        <v>-2.9</v>
      </c>
      <c r="F29" s="26">
        <f>Source!AK29</f>
        <v>454.3</v>
      </c>
      <c r="G29" s="28" t="s">
        <v>3</v>
      </c>
      <c r="H29" s="23">
        <f>Source!AW29</f>
        <v>1</v>
      </c>
      <c r="I29" s="27">
        <f>ROUND((Source!AC29*Source!AW29)*Source!I29, 2)+ROUND((Source!AD29*Source!AV29)*Source!I29, 2)+ROUND((Source!AF29*Source!AV29)*Source!I29, 2)</f>
        <v>-1317.47</v>
      </c>
      <c r="J29" s="23">
        <f>IF(Source!BC29&lt;&gt; 0, Source!BC29, 1)</f>
        <v>5.16</v>
      </c>
      <c r="K29" s="27">
        <f>Source!O29</f>
        <v>-6798.15</v>
      </c>
      <c r="Q29" s="37">
        <f>ROUND((Source!DN29/100)*ROUND((Source!AF29*Source!AV29)*Source!I29, 2), 2)</f>
        <v>0</v>
      </c>
      <c r="R29" s="37">
        <f>Source!X29</f>
        <v>0</v>
      </c>
      <c r="S29" s="37">
        <f>ROUND((Source!DO29/100)*ROUND((Source!AF29*Source!AV29)*Source!I29, 2), 2)</f>
        <v>0</v>
      </c>
      <c r="T29" s="37">
        <f>Source!Y29</f>
        <v>0</v>
      </c>
      <c r="U29" s="37">
        <f>ROUND((175/100)*ROUND((Source!AE29*Source!AV29)*Source!I29, 2), 2)</f>
        <v>0</v>
      </c>
      <c r="V29" s="37">
        <f>ROUND((167/100)*ROUND(Source!CS29*Source!I29, 2), 2)</f>
        <v>0</v>
      </c>
      <c r="X29" s="37">
        <f>IF(Source!BI29&lt;=1,I29, 0)</f>
        <v>-1317.47</v>
      </c>
      <c r="Y29" s="37">
        <f>IF(Source!BI29=2,I29, 0)</f>
        <v>0</v>
      </c>
      <c r="Z29" s="37">
        <f>IF(Source!BI29=3,I29, 0)</f>
        <v>0</v>
      </c>
      <c r="AA29" s="37">
        <f>IF(Source!BI29=4,I29, 0)</f>
        <v>0</v>
      </c>
    </row>
    <row r="30" spans="1:31" ht="42.75" x14ac:dyDescent="0.2">
      <c r="A30" s="21" t="str">
        <f>Source!E30</f>
        <v>1,2</v>
      </c>
      <c r="B30" s="22" t="str">
        <f>Source!F30</f>
        <v>1.12-2-3</v>
      </c>
      <c r="C30" s="22" t="str">
        <f>Source!G30</f>
        <v>ПЕНОПОЛИУРЕТАНОВАЯ ИЗОЛЯЦИЯ ТРУБ, НАРУЖНЫЙ ДИАМЕТР 89ММ</v>
      </c>
      <c r="D30" s="24" t="str">
        <f>Source!H30</f>
        <v>м</v>
      </c>
      <c r="E30" s="23">
        <f>Source!I30</f>
        <v>100</v>
      </c>
      <c r="F30" s="26">
        <f>Source!AK30</f>
        <v>367.51</v>
      </c>
      <c r="G30" s="28" t="s">
        <v>3</v>
      </c>
      <c r="H30" s="23">
        <f>Source!AW30</f>
        <v>1</v>
      </c>
      <c r="I30" s="27">
        <f>ROUND((Source!AC30*Source!AW30)*Source!I30, 2)+ROUND((Source!AD30*Source!AV30)*Source!I30, 2)+ROUND((Source!AF30*Source!AV30)*Source!I30, 2)</f>
        <v>36751</v>
      </c>
      <c r="J30" s="23">
        <f>IF(Source!BC30&lt;&gt; 0, Source!BC30, 1)</f>
        <v>2.35</v>
      </c>
      <c r="K30" s="27">
        <f>Source!O30</f>
        <v>86364.85</v>
      </c>
      <c r="Q30" s="37">
        <f>ROUND((Source!DN30/100)*ROUND((Source!AF30*Source!AV30)*Source!I30, 2), 2)</f>
        <v>0</v>
      </c>
      <c r="R30" s="37">
        <f>Source!X30</f>
        <v>0</v>
      </c>
      <c r="S30" s="37">
        <f>ROUND((Source!DO30/100)*ROUND((Source!AF30*Source!AV30)*Source!I30, 2), 2)</f>
        <v>0</v>
      </c>
      <c r="T30" s="37">
        <f>Source!Y30</f>
        <v>0</v>
      </c>
      <c r="U30" s="37">
        <f>ROUND((175/100)*ROUND((Source!AE30*Source!AV30)*Source!I30, 2), 2)</f>
        <v>0</v>
      </c>
      <c r="V30" s="37">
        <f>ROUND((167/100)*ROUND(Source!CS30*Source!I30, 2), 2)</f>
        <v>0</v>
      </c>
      <c r="X30" s="37">
        <f>IF(Source!BI30&lt;=1,I30, 0)</f>
        <v>36751</v>
      </c>
      <c r="Y30" s="37">
        <f>IF(Source!BI30=2,I30, 0)</f>
        <v>0</v>
      </c>
      <c r="Z30" s="37">
        <f>IF(Source!BI30=3,I30, 0)</f>
        <v>0</v>
      </c>
      <c r="AA30" s="37">
        <f>IF(Source!BI30=4,I30, 0)</f>
        <v>0</v>
      </c>
    </row>
    <row r="31" spans="1:31" ht="28.5" x14ac:dyDescent="0.2">
      <c r="A31" s="21" t="str">
        <f>Source!E31</f>
        <v>1,3</v>
      </c>
      <c r="B31" s="22" t="str">
        <f>Source!F31</f>
        <v>0.0-0-0</v>
      </c>
      <c r="C31" s="22" t="str">
        <f>Source!G31</f>
        <v>МАССА МУСОРА</v>
      </c>
      <c r="D31" s="24" t="str">
        <f>Source!H31</f>
        <v>т</v>
      </c>
      <c r="E31" s="23">
        <f>Source!I31</f>
        <v>-185.12927999999999</v>
      </c>
      <c r="F31" s="26">
        <f>Source!AK31</f>
        <v>0</v>
      </c>
      <c r="G31" s="28" t="s">
        <v>447</v>
      </c>
      <c r="H31" s="23">
        <f>Source!AW31</f>
        <v>1</v>
      </c>
      <c r="I31" s="27">
        <f>ROUND((Source!AC31*Source!AW31)*Source!I31, 2)+ROUND((Source!AD31*Source!AV31)*Source!I31, 2)+ROUND((Source!AF31*Source!AV31)*Source!I31, 2)</f>
        <v>0</v>
      </c>
      <c r="J31" s="23">
        <f>IF(Source!BC31&lt;&gt; 0, Source!BC31, 1)</f>
        <v>1</v>
      </c>
      <c r="K31" s="27">
        <f>Source!O31</f>
        <v>0</v>
      </c>
      <c r="Q31" s="37">
        <f>ROUND((Source!DN31/100)*ROUND((Source!AF31*Source!AV31)*Source!I31, 2), 2)</f>
        <v>0</v>
      </c>
      <c r="R31" s="37">
        <f>Source!X31</f>
        <v>0</v>
      </c>
      <c r="S31" s="37">
        <f>ROUND((Source!DO31/100)*ROUND((Source!AF31*Source!AV31)*Source!I31, 2), 2)</f>
        <v>0</v>
      </c>
      <c r="T31" s="37">
        <f>Source!Y31</f>
        <v>0</v>
      </c>
      <c r="U31" s="37">
        <f>ROUND((175/100)*ROUND((Source!AE31*Source!AV31)*Source!I31, 2), 2)</f>
        <v>0</v>
      </c>
      <c r="V31" s="37">
        <f>ROUND((167/100)*ROUND(Source!CS31*Source!I31, 2), 2)</f>
        <v>0</v>
      </c>
      <c r="X31" s="37">
        <f>IF(Source!BI31&lt;=1,I31, 0)</f>
        <v>0</v>
      </c>
      <c r="Y31" s="37">
        <f>IF(Source!BI31=2,I31, 0)</f>
        <v>0</v>
      </c>
      <c r="Z31" s="37">
        <f>IF(Source!BI31=3,I31, 0)</f>
        <v>0</v>
      </c>
      <c r="AA31" s="37">
        <f>IF(Source!BI31=4,I31, 0)</f>
        <v>0</v>
      </c>
    </row>
    <row r="32" spans="1:31" ht="28.5" x14ac:dyDescent="0.2">
      <c r="A32" s="21" t="str">
        <f>Source!E32</f>
        <v>1,4</v>
      </c>
      <c r="B32" s="22" t="str">
        <f>Source!F32</f>
        <v>0.0-0-0</v>
      </c>
      <c r="C32" s="22" t="str">
        <f>Source!G32</f>
        <v>ОБЪЕМ ГРУНТА</v>
      </c>
      <c r="D32" s="24" t="str">
        <f>Source!H32</f>
        <v>м3</v>
      </c>
      <c r="E32" s="23">
        <f>Source!I32</f>
        <v>-503.58240000000001</v>
      </c>
      <c r="F32" s="26">
        <f>Source!AK32</f>
        <v>0</v>
      </c>
      <c r="G32" s="28" t="s">
        <v>447</v>
      </c>
      <c r="H32" s="23">
        <f>Source!AW32</f>
        <v>1</v>
      </c>
      <c r="I32" s="27">
        <f>ROUND((Source!AC32*Source!AW32)*Source!I32, 2)+ROUND((Source!AD32*Source!AV32)*Source!I32, 2)+ROUND((Source!AF32*Source!AV32)*Source!I32, 2)</f>
        <v>0</v>
      </c>
      <c r="J32" s="23">
        <f>IF(Source!BC32&lt;&gt; 0, Source!BC32, 1)</f>
        <v>1</v>
      </c>
      <c r="K32" s="27">
        <f>Source!O32</f>
        <v>0</v>
      </c>
      <c r="Q32" s="37">
        <f>ROUND((Source!DN32/100)*ROUND((Source!AF32*Source!AV32)*Source!I32, 2), 2)</f>
        <v>0</v>
      </c>
      <c r="R32" s="37">
        <f>Source!X32</f>
        <v>0</v>
      </c>
      <c r="S32" s="37">
        <f>ROUND((Source!DO32/100)*ROUND((Source!AF32*Source!AV32)*Source!I32, 2), 2)</f>
        <v>0</v>
      </c>
      <c r="T32" s="37">
        <f>Source!Y32</f>
        <v>0</v>
      </c>
      <c r="U32" s="37">
        <f>ROUND((175/100)*ROUND((Source!AE32*Source!AV32)*Source!I32, 2), 2)</f>
        <v>0</v>
      </c>
      <c r="V32" s="37">
        <f>ROUND((167/100)*ROUND(Source!CS32*Source!I32, 2), 2)</f>
        <v>0</v>
      </c>
      <c r="X32" s="37">
        <f>IF(Source!BI32&lt;=1,I32, 0)</f>
        <v>0</v>
      </c>
      <c r="Y32" s="37">
        <f>IF(Source!BI32=2,I32, 0)</f>
        <v>0</v>
      </c>
      <c r="Z32" s="37">
        <f>IF(Source!BI32=3,I32, 0)</f>
        <v>0</v>
      </c>
      <c r="AA32" s="37">
        <f>IF(Source!BI32=4,I32, 0)</f>
        <v>0</v>
      </c>
    </row>
    <row r="33" spans="1:27" ht="14.25" x14ac:dyDescent="0.2">
      <c r="A33" s="29"/>
      <c r="B33" s="30"/>
      <c r="C33" s="30" t="s">
        <v>448</v>
      </c>
      <c r="D33" s="24"/>
      <c r="E33" s="31"/>
      <c r="F33" s="32">
        <f>Source!GV28</f>
        <v>-11.657</v>
      </c>
      <c r="G33" s="24"/>
      <c r="H33" s="31"/>
      <c r="I33" s="33"/>
      <c r="J33" s="31"/>
      <c r="K33" s="33">
        <f>Source!GV28*Source!I28</f>
        <v>-582.85</v>
      </c>
    </row>
    <row r="34" spans="1:27" ht="14.25" x14ac:dyDescent="0.2">
      <c r="A34" s="29"/>
      <c r="B34" s="30"/>
      <c r="C34" s="30" t="s">
        <v>449</v>
      </c>
      <c r="D34" s="24"/>
      <c r="E34" s="31"/>
      <c r="F34" s="32">
        <f>Source!GW28</f>
        <v>-4.2854000000000001</v>
      </c>
      <c r="G34" s="24"/>
      <c r="H34" s="31"/>
      <c r="I34" s="33"/>
      <c r="J34" s="31"/>
      <c r="K34" s="33">
        <f>Source!GW28*Source!I28</f>
        <v>-214.27</v>
      </c>
    </row>
    <row r="35" spans="1:27" ht="15" x14ac:dyDescent="0.25">
      <c r="A35" s="41"/>
      <c r="B35" s="41"/>
      <c r="C35" s="41"/>
      <c r="D35" s="41"/>
      <c r="E35" s="41"/>
      <c r="F35" s="41"/>
      <c r="G35" s="41"/>
      <c r="H35" s="68">
        <f>I25+I26+I27+I28+SUM(I29:I32)</f>
        <v>565829.89</v>
      </c>
      <c r="I35" s="68"/>
      <c r="J35" s="68">
        <f>K25+K26+K27+K28+SUM(K29:K32)</f>
        <v>4385569.7300000004</v>
      </c>
      <c r="K35" s="68"/>
      <c r="O35" s="42">
        <f>H35</f>
        <v>565829.89</v>
      </c>
      <c r="P35" s="42">
        <f>J35</f>
        <v>4385569.7300000004</v>
      </c>
      <c r="X35" s="37">
        <f>IF(Source!BI28&lt;=1,I25+I26+I27+I28, 0)</f>
        <v>530396.36</v>
      </c>
      <c r="Y35" s="37">
        <f>IF(Source!BI28=2,I25+I26+I27+I28, 0)</f>
        <v>0</v>
      </c>
      <c r="Z35" s="37">
        <f>IF(Source!BI28=3,I25+I26+I27+I28, 0)</f>
        <v>0</v>
      </c>
      <c r="AA35" s="37">
        <f>IF(Source!BI28=4,I25+I26+I27+I28, 0)</f>
        <v>0</v>
      </c>
    </row>
    <row r="36" spans="1:27" ht="85.5" x14ac:dyDescent="0.2">
      <c r="A36" s="21" t="str">
        <f>Source!E33</f>
        <v>2</v>
      </c>
      <c r="B36" s="22" t="str">
        <f>Source!F33</f>
        <v>3.24-24-1</v>
      </c>
      <c r="C36" s="22" t="str">
        <f>Source!G33</f>
        <v>КОНТРОЛЬ СВАРНЫХ СОЕДИНЕНИЙ ПРОСВЕЧИВАНИЕМ РЕНТГЕНОВСКИМИ УСТАНОВКАМИ ЧЕРЕЗ ДВЕ СТЕНКИ ТРУБОПРОВОДОВ ДИАМЕТРОМ, ММ, ДО: 100</v>
      </c>
      <c r="D36" s="24" t="str">
        <f>Source!H33</f>
        <v>стык</v>
      </c>
      <c r="E36" s="23">
        <f>Source!I33</f>
        <v>14</v>
      </c>
      <c r="F36" s="26"/>
      <c r="G36" s="25"/>
      <c r="H36" s="23"/>
      <c r="I36" s="27"/>
      <c r="J36" s="23"/>
      <c r="K36" s="27"/>
      <c r="Q36" s="37">
        <f>ROUND((Source!DN33/100)*ROUND((Source!AF33*Source!AV33)*Source!I33, 2), 2)</f>
        <v>1079.0999999999999</v>
      </c>
      <c r="R36" s="37">
        <f>Source!X33</f>
        <v>15866.11</v>
      </c>
      <c r="S36" s="37">
        <f>ROUND((Source!DO33/100)*ROUND((Source!AF33*Source!AV33)*Source!I33, 2), 2)</f>
        <v>916.83</v>
      </c>
      <c r="T36" s="37">
        <f>Source!Y33</f>
        <v>8074.72</v>
      </c>
      <c r="U36" s="37">
        <f>ROUND((175/100)*ROUND((Source!AE33*Source!AV33)*Source!I33, 2), 2)</f>
        <v>359.85</v>
      </c>
      <c r="V36" s="37">
        <f>ROUND((167/100)*ROUND(Source!CS33*Source!I33, 2), 2)</f>
        <v>5995.77</v>
      </c>
    </row>
    <row r="37" spans="1:27" ht="14.25" x14ac:dyDescent="0.2">
      <c r="A37" s="21"/>
      <c r="B37" s="22"/>
      <c r="C37" s="22" t="s">
        <v>450</v>
      </c>
      <c r="D37" s="24"/>
      <c r="E37" s="23"/>
      <c r="F37" s="26">
        <f>Source!AO33</f>
        <v>47.23</v>
      </c>
      <c r="G37" s="25" t="str">
        <f>Source!DG33</f>
        <v>*1,15</v>
      </c>
      <c r="H37" s="23">
        <f>Source!AV33</f>
        <v>1.0669999999999999</v>
      </c>
      <c r="I37" s="27">
        <f>ROUND((Source!AF33*Source!AV33)*Source!I33, 2)</f>
        <v>811.35</v>
      </c>
      <c r="J37" s="23">
        <f>IF(Source!BA33&lt;&gt; 0, Source!BA33, 1)</f>
        <v>17.46</v>
      </c>
      <c r="K37" s="27">
        <f>Source!S33</f>
        <v>14166.17</v>
      </c>
      <c r="W37" s="37">
        <f>ROUND((Source!AF33*Source!AV33)*Source!I33, 2)</f>
        <v>811.35</v>
      </c>
    </row>
    <row r="38" spans="1:27" ht="14.25" x14ac:dyDescent="0.2">
      <c r="A38" s="21"/>
      <c r="B38" s="22"/>
      <c r="C38" s="22" t="s">
        <v>451</v>
      </c>
      <c r="D38" s="24"/>
      <c r="E38" s="23"/>
      <c r="F38" s="26">
        <f>Source!AM33</f>
        <v>45.14</v>
      </c>
      <c r="G38" s="25" t="str">
        <f>Source!DE33</f>
        <v>*1,15</v>
      </c>
      <c r="H38" s="23">
        <f>Source!AV33</f>
        <v>1.0669999999999999</v>
      </c>
      <c r="I38" s="27">
        <f>ROUND((Source!AD33*Source!AV33)*Source!I33, 2)</f>
        <v>775.45</v>
      </c>
      <c r="J38" s="23">
        <f>IF(Source!BB33&lt;&gt; 0, Source!BB33, 1)</f>
        <v>9.0500000000000007</v>
      </c>
      <c r="K38" s="27">
        <f>Source!Q33</f>
        <v>7017.79</v>
      </c>
    </row>
    <row r="39" spans="1:27" ht="14.25" x14ac:dyDescent="0.2">
      <c r="A39" s="21"/>
      <c r="B39" s="22"/>
      <c r="C39" s="22" t="s">
        <v>452</v>
      </c>
      <c r="D39" s="24"/>
      <c r="E39" s="23"/>
      <c r="F39" s="26">
        <f>Source!AN33</f>
        <v>11.97</v>
      </c>
      <c r="G39" s="25" t="str">
        <f>Source!DF33</f>
        <v>*1,15</v>
      </c>
      <c r="H39" s="23">
        <f>Source!AV33</f>
        <v>1.0669999999999999</v>
      </c>
      <c r="I39" s="33">
        <f>ROUND((Source!AE33*Source!AV33)*Source!I33, 2)</f>
        <v>205.63</v>
      </c>
      <c r="J39" s="23">
        <f>IF(Source!BS33&lt;&gt; 0, Source!BS33, 1)</f>
        <v>17.46</v>
      </c>
      <c r="K39" s="33">
        <f>Source!R33</f>
        <v>3590.28</v>
      </c>
      <c r="W39" s="37">
        <f>ROUND((Source!AE33*Source!AV33)*Source!I33, 2)</f>
        <v>205.63</v>
      </c>
    </row>
    <row r="40" spans="1:27" ht="14.25" x14ac:dyDescent="0.2">
      <c r="A40" s="21"/>
      <c r="B40" s="22"/>
      <c r="C40" s="22" t="s">
        <v>446</v>
      </c>
      <c r="D40" s="24"/>
      <c r="E40" s="23"/>
      <c r="F40" s="26">
        <f>Source!AL33</f>
        <v>32.4</v>
      </c>
      <c r="G40" s="25" t="str">
        <f>Source!DD33</f>
        <v/>
      </c>
      <c r="H40" s="23">
        <f>Source!AW33</f>
        <v>1.0029999999999999</v>
      </c>
      <c r="I40" s="27">
        <f>ROUND((Source!AC33*Source!AW33)*Source!I33, 2)</f>
        <v>454.96</v>
      </c>
      <c r="J40" s="23">
        <f>IF(Source!BC33&lt;&gt; 0, Source!BC33, 1)</f>
        <v>4.7300000000000004</v>
      </c>
      <c r="K40" s="27">
        <f>Source!P33</f>
        <v>2151.96</v>
      </c>
    </row>
    <row r="41" spans="1:27" ht="14.25" x14ac:dyDescent="0.2">
      <c r="A41" s="21"/>
      <c r="B41" s="22"/>
      <c r="C41" s="22" t="s">
        <v>453</v>
      </c>
      <c r="D41" s="24" t="s">
        <v>454</v>
      </c>
      <c r="E41" s="23">
        <f>Source!DN33</f>
        <v>133</v>
      </c>
      <c r="F41" s="26"/>
      <c r="G41" s="25"/>
      <c r="H41" s="23"/>
      <c r="I41" s="27">
        <f>SUM(Q36:Q40)</f>
        <v>1079.0999999999999</v>
      </c>
      <c r="J41" s="23">
        <f>Source!BZ33</f>
        <v>112</v>
      </c>
      <c r="K41" s="27">
        <f>SUM(R36:R40)</f>
        <v>15866.11</v>
      </c>
    </row>
    <row r="42" spans="1:27" ht="14.25" x14ac:dyDescent="0.2">
      <c r="A42" s="21"/>
      <c r="B42" s="22"/>
      <c r="C42" s="22" t="s">
        <v>455</v>
      </c>
      <c r="D42" s="24" t="s">
        <v>454</v>
      </c>
      <c r="E42" s="23">
        <f>Source!DO33</f>
        <v>113</v>
      </c>
      <c r="F42" s="26"/>
      <c r="G42" s="25"/>
      <c r="H42" s="23"/>
      <c r="I42" s="27">
        <f>SUM(S36:S41)</f>
        <v>916.83</v>
      </c>
      <c r="J42" s="23">
        <f>Source!CA33</f>
        <v>57</v>
      </c>
      <c r="K42" s="27">
        <f>SUM(T36:T41)</f>
        <v>8074.72</v>
      </c>
    </row>
    <row r="43" spans="1:27" ht="14.25" x14ac:dyDescent="0.2">
      <c r="A43" s="21"/>
      <c r="B43" s="22"/>
      <c r="C43" s="22" t="s">
        <v>456</v>
      </c>
      <c r="D43" s="24" t="s">
        <v>454</v>
      </c>
      <c r="E43" s="23">
        <f>175</f>
        <v>175</v>
      </c>
      <c r="F43" s="26"/>
      <c r="G43" s="25"/>
      <c r="H43" s="23"/>
      <c r="I43" s="27">
        <f>SUM(U36:U42)</f>
        <v>359.85</v>
      </c>
      <c r="J43" s="23">
        <f>167</f>
        <v>167</v>
      </c>
      <c r="K43" s="27">
        <f>SUM(V36:V42)</f>
        <v>5995.77</v>
      </c>
    </row>
    <row r="44" spans="1:27" ht="14.25" x14ac:dyDescent="0.2">
      <c r="A44" s="21"/>
      <c r="B44" s="22"/>
      <c r="C44" s="22" t="s">
        <v>457</v>
      </c>
      <c r="D44" s="24" t="s">
        <v>458</v>
      </c>
      <c r="E44" s="23">
        <f>Source!AQ33</f>
        <v>2.79</v>
      </c>
      <c r="F44" s="26"/>
      <c r="G44" s="25" t="str">
        <f>Source!DI33</f>
        <v>*1,15</v>
      </c>
      <c r="H44" s="23">
        <f>Source!AV33</f>
        <v>1.0669999999999999</v>
      </c>
      <c r="I44" s="27">
        <f>Source!U33</f>
        <v>47.928573</v>
      </c>
      <c r="J44" s="23"/>
      <c r="K44" s="27"/>
    </row>
    <row r="45" spans="1:27" ht="15" x14ac:dyDescent="0.25">
      <c r="A45" s="41"/>
      <c r="B45" s="41"/>
      <c r="C45" s="41"/>
      <c r="D45" s="41"/>
      <c r="E45" s="41"/>
      <c r="F45" s="41"/>
      <c r="G45" s="41"/>
      <c r="H45" s="68">
        <f>I37+I38+I40+I41+I42+I43</f>
        <v>4397.54</v>
      </c>
      <c r="I45" s="68"/>
      <c r="J45" s="68">
        <f>K37+K38+K40+K41+K42+K43</f>
        <v>53272.520000000004</v>
      </c>
      <c r="K45" s="68"/>
      <c r="O45" s="42">
        <f>H45</f>
        <v>4397.54</v>
      </c>
      <c r="P45" s="42">
        <f>J45</f>
        <v>53272.520000000004</v>
      </c>
      <c r="X45" s="37">
        <f>IF(Source!BI33&lt;=1,I37+I38+I40+I41+I42+I43, 0)</f>
        <v>4397.54</v>
      </c>
      <c r="Y45" s="37">
        <f>IF(Source!BI33=2,I37+I38+I40+I41+I42+I43, 0)</f>
        <v>0</v>
      </c>
      <c r="Z45" s="37">
        <f>IF(Source!BI33=3,I37+I38+I40+I41+I42+I43, 0)</f>
        <v>0</v>
      </c>
      <c r="AA45" s="37">
        <f>IF(Source!BI33=4,I37+I38+I40+I41+I42+I43, 0)</f>
        <v>0</v>
      </c>
    </row>
    <row r="46" spans="1:27" ht="85.5" x14ac:dyDescent="0.2">
      <c r="A46" s="21" t="str">
        <f>Source!E34</f>
        <v>3</v>
      </c>
      <c r="B46" s="22" t="str">
        <f>Source!F34</f>
        <v>3.24-42-3</v>
      </c>
      <c r="C46" s="22" t="str">
        <f>Source!G34</f>
        <v>БЕСКАНАЛЬНАЯ ПРОКЛАДКА ТРУБОПРОВОДОВ С ТЕПЛОИЗОЛЯЦИЕЙ ИЗ ПЕНОПОЛИУРЕТАНА. ИЗОЛЯЦИЯ СТЫКОВ ТРУБ, ДИАМЕТР ТРУБ 80 ММ</v>
      </c>
      <c r="D46" s="24" t="str">
        <f>Source!H34</f>
        <v>стык</v>
      </c>
      <c r="E46" s="23">
        <f>Source!I34</f>
        <v>14</v>
      </c>
      <c r="F46" s="26"/>
      <c r="G46" s="25"/>
      <c r="H46" s="23"/>
      <c r="I46" s="27"/>
      <c r="J46" s="23"/>
      <c r="K46" s="27"/>
      <c r="Q46" s="37">
        <f>ROUND((Source!DN34/100)*ROUND((Source!AF34*Source!AV34)*Source!I34, 2), 2)</f>
        <v>5203.33</v>
      </c>
      <c r="R46" s="37">
        <f>Source!X34</f>
        <v>76505.36</v>
      </c>
      <c r="S46" s="37">
        <f>ROUND((Source!DO34/100)*ROUND((Source!AF34*Source!AV34)*Source!I34, 2), 2)</f>
        <v>4420.88</v>
      </c>
      <c r="T46" s="37">
        <f>Source!Y34</f>
        <v>38935.769999999997</v>
      </c>
      <c r="U46" s="37">
        <f>ROUND((175/100)*ROUND((Source!AE34*Source!AV34)*Source!I34, 2), 2)</f>
        <v>330.7</v>
      </c>
      <c r="V46" s="37">
        <f>ROUND((167/100)*ROUND(Source!CS34*Source!I34, 2), 2)</f>
        <v>5509.9</v>
      </c>
    </row>
    <row r="47" spans="1:27" ht="14.25" x14ac:dyDescent="0.2">
      <c r="A47" s="21"/>
      <c r="B47" s="22"/>
      <c r="C47" s="22" t="s">
        <v>450</v>
      </c>
      <c r="D47" s="24"/>
      <c r="E47" s="23"/>
      <c r="F47" s="26">
        <f>Source!AO34</f>
        <v>227.74</v>
      </c>
      <c r="G47" s="25" t="str">
        <f>Source!DG34</f>
        <v>*1,15</v>
      </c>
      <c r="H47" s="23">
        <f>Source!AV34</f>
        <v>1.0669999999999999</v>
      </c>
      <c r="I47" s="27">
        <f>ROUND((Source!AF34*Source!AV34)*Source!I34, 2)</f>
        <v>3912.28</v>
      </c>
      <c r="J47" s="23">
        <f>IF(Source!BA34&lt;&gt; 0, Source!BA34, 1)</f>
        <v>17.46</v>
      </c>
      <c r="K47" s="27">
        <f>Source!S34</f>
        <v>68308.36</v>
      </c>
      <c r="W47" s="37">
        <f>ROUND((Source!AF34*Source!AV34)*Source!I34, 2)</f>
        <v>3912.28</v>
      </c>
    </row>
    <row r="48" spans="1:27" ht="14.25" x14ac:dyDescent="0.2">
      <c r="A48" s="21"/>
      <c r="B48" s="22"/>
      <c r="C48" s="22" t="s">
        <v>451</v>
      </c>
      <c r="D48" s="24"/>
      <c r="E48" s="23"/>
      <c r="F48" s="26">
        <f>Source!AM34</f>
        <v>74.59</v>
      </c>
      <c r="G48" s="25" t="str">
        <f>Source!DE34</f>
        <v>*1,15</v>
      </c>
      <c r="H48" s="23">
        <f>Source!AV34</f>
        <v>1.0669999999999999</v>
      </c>
      <c r="I48" s="27">
        <f>ROUND((Source!AD34*Source!AV34)*Source!I34, 2)</f>
        <v>1281.3599999999999</v>
      </c>
      <c r="J48" s="23">
        <f>IF(Source!BB34&lt;&gt; 0, Source!BB34, 1)</f>
        <v>7.54</v>
      </c>
      <c r="K48" s="27">
        <f>Source!Q34</f>
        <v>9661.4500000000007</v>
      </c>
    </row>
    <row r="49" spans="1:27" ht="14.25" x14ac:dyDescent="0.2">
      <c r="A49" s="21"/>
      <c r="B49" s="22"/>
      <c r="C49" s="22" t="s">
        <v>452</v>
      </c>
      <c r="D49" s="24"/>
      <c r="E49" s="23"/>
      <c r="F49" s="26">
        <f>Source!AN34</f>
        <v>11</v>
      </c>
      <c r="G49" s="25" t="str">
        <f>Source!DF34</f>
        <v>*1,15</v>
      </c>
      <c r="H49" s="23">
        <f>Source!AV34</f>
        <v>1.0669999999999999</v>
      </c>
      <c r="I49" s="33">
        <f>ROUND((Source!AE34*Source!AV34)*Source!I34, 2)</f>
        <v>188.97</v>
      </c>
      <c r="J49" s="23">
        <f>IF(Source!BS34&lt;&gt; 0, Source!BS34, 1)</f>
        <v>17.46</v>
      </c>
      <c r="K49" s="33">
        <f>Source!R34</f>
        <v>3299.34</v>
      </c>
      <c r="W49" s="37">
        <f>ROUND((Source!AE34*Source!AV34)*Source!I34, 2)</f>
        <v>188.97</v>
      </c>
    </row>
    <row r="50" spans="1:27" ht="14.25" x14ac:dyDescent="0.2">
      <c r="A50" s="21"/>
      <c r="B50" s="22"/>
      <c r="C50" s="22" t="s">
        <v>446</v>
      </c>
      <c r="D50" s="24"/>
      <c r="E50" s="23"/>
      <c r="F50" s="26">
        <f>Source!AL34</f>
        <v>20.170000000000002</v>
      </c>
      <c r="G50" s="25" t="str">
        <f>Source!DD34</f>
        <v/>
      </c>
      <c r="H50" s="23">
        <f>Source!AW34</f>
        <v>1.0029999999999999</v>
      </c>
      <c r="I50" s="27">
        <f>ROUND((Source!AC34*Source!AW34)*Source!I34, 2)</f>
        <v>283.23</v>
      </c>
      <c r="J50" s="23">
        <f>IF(Source!BC34&lt;&gt; 0, Source!BC34, 1)</f>
        <v>2.36</v>
      </c>
      <c r="K50" s="27">
        <f>Source!P34</f>
        <v>668.42</v>
      </c>
    </row>
    <row r="51" spans="1:27" ht="42.75" x14ac:dyDescent="0.2">
      <c r="A51" s="21" t="str">
        <f>Source!E35</f>
        <v>3,1</v>
      </c>
      <c r="B51" s="22" t="str">
        <f>Source!F35</f>
        <v>1.12-2-594</v>
      </c>
      <c r="C51" s="22" t="str">
        <f>Source!G35</f>
        <v>КОМПЛЕКТ ДЛЯ ИЗОЛЯЦИИ СТЫКА МФЛ-1000, ИЗ ПЕНОПОЛИУРЕТАНА, НАРУЖНЫЙ ДИАМЕТР ТРУБ 89 ММ</v>
      </c>
      <c r="D51" s="24" t="str">
        <f>Source!H35</f>
        <v>компл.</v>
      </c>
      <c r="E51" s="23">
        <f>Source!I35</f>
        <v>14</v>
      </c>
      <c r="F51" s="26">
        <f>Source!AK35</f>
        <v>2060.37</v>
      </c>
      <c r="G51" s="28" t="s">
        <v>3</v>
      </c>
      <c r="H51" s="23">
        <f>Source!AW35</f>
        <v>1.0029999999999999</v>
      </c>
      <c r="I51" s="27">
        <f>ROUND((Source!AC35*Source!AW35)*Source!I35, 2)+ROUND((Source!AD35*Source!AV35)*Source!I35, 2)+ROUND((Source!AF35*Source!AV35)*Source!I35, 2)</f>
        <v>28931.72</v>
      </c>
      <c r="J51" s="23">
        <f>IF(Source!BC35&lt;&gt; 0, Source!BC35, 1)</f>
        <v>1.93</v>
      </c>
      <c r="K51" s="27">
        <f>Source!O35</f>
        <v>55838.21</v>
      </c>
      <c r="Q51" s="37">
        <f>ROUND((Source!DN35/100)*ROUND((Source!AF35*Source!AV35)*Source!I35, 2), 2)</f>
        <v>0</v>
      </c>
      <c r="R51" s="37">
        <f>Source!X35</f>
        <v>0</v>
      </c>
      <c r="S51" s="37">
        <f>ROUND((Source!DO35/100)*ROUND((Source!AF35*Source!AV35)*Source!I35, 2), 2)</f>
        <v>0</v>
      </c>
      <c r="T51" s="37">
        <f>Source!Y35</f>
        <v>0</v>
      </c>
      <c r="U51" s="37">
        <f>ROUND((175/100)*ROUND((Source!AE35*Source!AV35)*Source!I35, 2), 2)</f>
        <v>0</v>
      </c>
      <c r="V51" s="37">
        <f>ROUND((167/100)*ROUND(Source!CS35*Source!I35, 2), 2)</f>
        <v>0</v>
      </c>
      <c r="X51" s="37">
        <f>IF(Source!BI35&lt;=1,I51, 0)</f>
        <v>28931.72</v>
      </c>
      <c r="Y51" s="37">
        <f>IF(Source!BI35=2,I51, 0)</f>
        <v>0</v>
      </c>
      <c r="Z51" s="37">
        <f>IF(Source!BI35=3,I51, 0)</f>
        <v>0</v>
      </c>
      <c r="AA51" s="37">
        <f>IF(Source!BI35=4,I51, 0)</f>
        <v>0</v>
      </c>
    </row>
    <row r="52" spans="1:27" ht="14.25" x14ac:dyDescent="0.2">
      <c r="A52" s="21"/>
      <c r="B52" s="22"/>
      <c r="C52" s="22" t="s">
        <v>453</v>
      </c>
      <c r="D52" s="24" t="s">
        <v>454</v>
      </c>
      <c r="E52" s="23">
        <f>Source!DN34</f>
        <v>133</v>
      </c>
      <c r="F52" s="26"/>
      <c r="G52" s="25"/>
      <c r="H52" s="23"/>
      <c r="I52" s="27">
        <f>SUM(Q46:Q51)</f>
        <v>5203.33</v>
      </c>
      <c r="J52" s="23">
        <f>Source!BZ34</f>
        <v>112</v>
      </c>
      <c r="K52" s="27">
        <f>SUM(R46:R51)</f>
        <v>76505.36</v>
      </c>
    </row>
    <row r="53" spans="1:27" ht="14.25" x14ac:dyDescent="0.2">
      <c r="A53" s="21"/>
      <c r="B53" s="22"/>
      <c r="C53" s="22" t="s">
        <v>455</v>
      </c>
      <c r="D53" s="24" t="s">
        <v>454</v>
      </c>
      <c r="E53" s="23">
        <f>Source!DO34</f>
        <v>113</v>
      </c>
      <c r="F53" s="26"/>
      <c r="G53" s="25"/>
      <c r="H53" s="23"/>
      <c r="I53" s="27">
        <f>SUM(S46:S52)</f>
        <v>4420.88</v>
      </c>
      <c r="J53" s="23">
        <f>Source!CA34</f>
        <v>57</v>
      </c>
      <c r="K53" s="27">
        <f>SUM(T46:T52)</f>
        <v>38935.769999999997</v>
      </c>
    </row>
    <row r="54" spans="1:27" ht="14.25" x14ac:dyDescent="0.2">
      <c r="A54" s="21"/>
      <c r="B54" s="22"/>
      <c r="C54" s="22" t="s">
        <v>456</v>
      </c>
      <c r="D54" s="24" t="s">
        <v>454</v>
      </c>
      <c r="E54" s="23">
        <f>175</f>
        <v>175</v>
      </c>
      <c r="F54" s="26"/>
      <c r="G54" s="25"/>
      <c r="H54" s="23"/>
      <c r="I54" s="27">
        <f>SUM(U46:U53)</f>
        <v>330.7</v>
      </c>
      <c r="J54" s="23">
        <f>167</f>
        <v>167</v>
      </c>
      <c r="K54" s="27">
        <f>SUM(V46:V53)</f>
        <v>5509.9</v>
      </c>
    </row>
    <row r="55" spans="1:27" ht="14.25" x14ac:dyDescent="0.2">
      <c r="A55" s="21"/>
      <c r="B55" s="22"/>
      <c r="C55" s="22" t="s">
        <v>457</v>
      </c>
      <c r="D55" s="24" t="s">
        <v>458</v>
      </c>
      <c r="E55" s="23">
        <f>Source!AQ34</f>
        <v>16.2</v>
      </c>
      <c r="F55" s="26"/>
      <c r="G55" s="25" t="str">
        <f>Source!DI34</f>
        <v>*1,15</v>
      </c>
      <c r="H55" s="23">
        <f>Source!AV34</f>
        <v>1.0669999999999999</v>
      </c>
      <c r="I55" s="27">
        <f>Source!U34</f>
        <v>278.29494</v>
      </c>
      <c r="J55" s="23"/>
      <c r="K55" s="27"/>
    </row>
    <row r="56" spans="1:27" ht="15" x14ac:dyDescent="0.25">
      <c r="A56" s="41"/>
      <c r="B56" s="41"/>
      <c r="C56" s="41"/>
      <c r="D56" s="41"/>
      <c r="E56" s="41"/>
      <c r="F56" s="41"/>
      <c r="G56" s="41"/>
      <c r="H56" s="68">
        <f>I47+I48+I50+I52+I53+I54+SUM(I51:I51)</f>
        <v>44363.5</v>
      </c>
      <c r="I56" s="68"/>
      <c r="J56" s="68">
        <f>K47+K48+K50+K52+K53+K54+SUM(K51:K51)</f>
        <v>255427.46999999997</v>
      </c>
      <c r="K56" s="68"/>
      <c r="O56" s="42">
        <f>H56</f>
        <v>44363.5</v>
      </c>
      <c r="P56" s="42">
        <f>J56</f>
        <v>255427.46999999997</v>
      </c>
      <c r="X56" s="37">
        <f>IF(Source!BI34&lt;=1,I47+I48+I50+I52+I53+I54, 0)</f>
        <v>15431.780000000002</v>
      </c>
      <c r="Y56" s="37">
        <f>IF(Source!BI34=2,I47+I48+I50+I52+I53+I54, 0)</f>
        <v>0</v>
      </c>
      <c r="Z56" s="37">
        <f>IF(Source!BI34=3,I47+I48+I50+I52+I53+I54, 0)</f>
        <v>0</v>
      </c>
      <c r="AA56" s="37">
        <f>IF(Source!BI34=4,I47+I48+I50+I52+I53+I54, 0)</f>
        <v>0</v>
      </c>
    </row>
    <row r="57" spans="1:27" ht="71.25" x14ac:dyDescent="0.2">
      <c r="A57" s="21" t="str">
        <f>Source!E36</f>
        <v>4</v>
      </c>
      <c r="B57" s="22" t="str">
        <f>Source!F36</f>
        <v>3.1-6-10</v>
      </c>
      <c r="C57" s="22" t="str">
        <f>Source!G36</f>
        <v>РАЗРАБОТКА ГРУНТА С ПОГРУЗКОЙ НА АВТОМОБИЛИ-САМОСВАЛЫ ЭКСКАВАТОРАМИ С КОВШОМ ВМЕСТИМОСТЬЮ 0,5 М3 ГРУППА ГРУНТОВ 1-3</v>
      </c>
      <c r="D57" s="24" t="str">
        <f>Source!H36</f>
        <v>100 м3</v>
      </c>
      <c r="E57" s="23">
        <f>Source!I36</f>
        <v>5.0358200000000002</v>
      </c>
      <c r="F57" s="26"/>
      <c r="G57" s="25"/>
      <c r="H57" s="23"/>
      <c r="I57" s="27"/>
      <c r="J57" s="23"/>
      <c r="K57" s="27"/>
      <c r="Q57" s="37">
        <f>ROUND((Source!DN36/100)*ROUND((Source!AF36*Source!AV36)*Source!I36, 2), 2)</f>
        <v>82.95</v>
      </c>
      <c r="R57" s="37">
        <f>Source!X36</f>
        <v>1433.45</v>
      </c>
      <c r="S57" s="37">
        <f>ROUND((Source!DO36/100)*ROUND((Source!AF36*Source!AV36)*Source!I36, 2), 2)</f>
        <v>65.17</v>
      </c>
      <c r="T57" s="37">
        <f>Source!Y36</f>
        <v>798</v>
      </c>
      <c r="U57" s="37">
        <f>ROUND((175/100)*ROUND((Source!AE36*Source!AV36)*Source!I36, 2), 2)</f>
        <v>1475.71</v>
      </c>
      <c r="V57" s="37">
        <f>ROUND((167/100)*ROUND(Source!CS36*Source!I36, 2), 2)</f>
        <v>24587.91</v>
      </c>
    </row>
    <row r="58" spans="1:27" x14ac:dyDescent="0.2">
      <c r="C58" s="34" t="str">
        <f>"Объем: "&amp;Source!I36&amp;"=503,582/"&amp;"100"</f>
        <v>Объем: 5,03582=503,582/100</v>
      </c>
    </row>
    <row r="59" spans="1:27" ht="14.25" x14ac:dyDescent="0.2">
      <c r="A59" s="21"/>
      <c r="B59" s="22"/>
      <c r="C59" s="22" t="s">
        <v>450</v>
      </c>
      <c r="D59" s="24"/>
      <c r="E59" s="23"/>
      <c r="F59" s="26">
        <f>Source!AO36</f>
        <v>14.1</v>
      </c>
      <c r="G59" s="25" t="str">
        <f>Source!DG36</f>
        <v/>
      </c>
      <c r="H59" s="23">
        <f>Source!AV36</f>
        <v>1.1919999999999999</v>
      </c>
      <c r="I59" s="27">
        <f>ROUND((Source!AF36*Source!AV36)*Source!I36, 2)</f>
        <v>84.64</v>
      </c>
      <c r="J59" s="23">
        <f>IF(Source!BA36&lt;&gt; 0, Source!BA36, 1)</f>
        <v>17.46</v>
      </c>
      <c r="K59" s="27">
        <f>Source!S36</f>
        <v>1477.78</v>
      </c>
      <c r="W59" s="37">
        <f>ROUND((Source!AF36*Source!AV36)*Source!I36, 2)</f>
        <v>84.64</v>
      </c>
    </row>
    <row r="60" spans="1:27" ht="14.25" x14ac:dyDescent="0.2">
      <c r="A60" s="21"/>
      <c r="B60" s="22"/>
      <c r="C60" s="22" t="s">
        <v>451</v>
      </c>
      <c r="D60" s="24"/>
      <c r="E60" s="23"/>
      <c r="F60" s="26">
        <f>Source!AM36</f>
        <v>757.55</v>
      </c>
      <c r="G60" s="25" t="str">
        <f>Source!DE36</f>
        <v/>
      </c>
      <c r="H60" s="23">
        <f>Source!AV36</f>
        <v>1.1919999999999999</v>
      </c>
      <c r="I60" s="27">
        <f>ROUND((Source!AD36*Source!AV36)*Source!I36, 2)</f>
        <v>4547.34</v>
      </c>
      <c r="J60" s="23">
        <f>IF(Source!BB36&lt;&gt; 0, Source!BB36, 1)</f>
        <v>7.49</v>
      </c>
      <c r="K60" s="27">
        <f>Source!Q36</f>
        <v>34059.599999999999</v>
      </c>
    </row>
    <row r="61" spans="1:27" ht="14.25" x14ac:dyDescent="0.2">
      <c r="A61" s="21"/>
      <c r="B61" s="22"/>
      <c r="C61" s="22" t="s">
        <v>452</v>
      </c>
      <c r="D61" s="24"/>
      <c r="E61" s="23"/>
      <c r="F61" s="26">
        <f>Source!AN36</f>
        <v>140.47999999999999</v>
      </c>
      <c r="G61" s="25" t="str">
        <f>Source!DF36</f>
        <v/>
      </c>
      <c r="H61" s="23">
        <f>Source!AV36</f>
        <v>1.1919999999999999</v>
      </c>
      <c r="I61" s="33">
        <f>ROUND((Source!AE36*Source!AV36)*Source!I36, 2)</f>
        <v>843.26</v>
      </c>
      <c r="J61" s="23">
        <f>IF(Source!BS36&lt;&gt; 0, Source!BS36, 1)</f>
        <v>17.46</v>
      </c>
      <c r="K61" s="33">
        <f>Source!R36</f>
        <v>14723.3</v>
      </c>
      <c r="W61" s="37">
        <f>ROUND((Source!AE36*Source!AV36)*Source!I36, 2)</f>
        <v>843.26</v>
      </c>
    </row>
    <row r="62" spans="1:27" ht="14.25" x14ac:dyDescent="0.2">
      <c r="A62" s="21"/>
      <c r="B62" s="22"/>
      <c r="C62" s="22" t="s">
        <v>453</v>
      </c>
      <c r="D62" s="24" t="s">
        <v>454</v>
      </c>
      <c r="E62" s="23">
        <f>Source!DN36</f>
        <v>98</v>
      </c>
      <c r="F62" s="26"/>
      <c r="G62" s="25"/>
      <c r="H62" s="23"/>
      <c r="I62" s="27">
        <f>SUM(Q57:Q61)</f>
        <v>82.95</v>
      </c>
      <c r="J62" s="23">
        <f>Source!BZ36</f>
        <v>97</v>
      </c>
      <c r="K62" s="27">
        <f>SUM(R57:R61)</f>
        <v>1433.45</v>
      </c>
    </row>
    <row r="63" spans="1:27" ht="14.25" x14ac:dyDescent="0.2">
      <c r="A63" s="21"/>
      <c r="B63" s="22"/>
      <c r="C63" s="22" t="s">
        <v>455</v>
      </c>
      <c r="D63" s="24" t="s">
        <v>454</v>
      </c>
      <c r="E63" s="23">
        <f>Source!DO36</f>
        <v>77</v>
      </c>
      <c r="F63" s="26"/>
      <c r="G63" s="25"/>
      <c r="H63" s="23"/>
      <c r="I63" s="27">
        <f>SUM(S57:S62)</f>
        <v>65.17</v>
      </c>
      <c r="J63" s="23">
        <f>Source!CA36</f>
        <v>54</v>
      </c>
      <c r="K63" s="27">
        <f>SUM(T57:T62)</f>
        <v>798</v>
      </c>
    </row>
    <row r="64" spans="1:27" ht="14.25" x14ac:dyDescent="0.2">
      <c r="A64" s="21"/>
      <c r="B64" s="22"/>
      <c r="C64" s="22" t="s">
        <v>456</v>
      </c>
      <c r="D64" s="24" t="s">
        <v>454</v>
      </c>
      <c r="E64" s="23">
        <f>175</f>
        <v>175</v>
      </c>
      <c r="F64" s="26"/>
      <c r="G64" s="25"/>
      <c r="H64" s="23"/>
      <c r="I64" s="27">
        <f>SUM(U57:U63)</f>
        <v>1475.71</v>
      </c>
      <c r="J64" s="23">
        <f>167</f>
        <v>167</v>
      </c>
      <c r="K64" s="27">
        <f>SUM(V57:V63)</f>
        <v>24587.91</v>
      </c>
    </row>
    <row r="65" spans="1:27" ht="14.25" x14ac:dyDescent="0.2">
      <c r="A65" s="21"/>
      <c r="B65" s="22"/>
      <c r="C65" s="22" t="s">
        <v>457</v>
      </c>
      <c r="D65" s="24" t="s">
        <v>458</v>
      </c>
      <c r="E65" s="23">
        <f>Source!AQ36</f>
        <v>1.38</v>
      </c>
      <c r="F65" s="26"/>
      <c r="G65" s="25" t="str">
        <f>Source!DI36</f>
        <v/>
      </c>
      <c r="H65" s="23">
        <f>Source!AV36</f>
        <v>1.1919999999999999</v>
      </c>
      <c r="I65" s="27">
        <f>Source!U36</f>
        <v>8.2837224671999987</v>
      </c>
      <c r="J65" s="23"/>
      <c r="K65" s="27"/>
    </row>
    <row r="66" spans="1:27" ht="15" x14ac:dyDescent="0.25">
      <c r="A66" s="41"/>
      <c r="B66" s="41"/>
      <c r="C66" s="41"/>
      <c r="D66" s="41"/>
      <c r="E66" s="41"/>
      <c r="F66" s="41"/>
      <c r="G66" s="41"/>
      <c r="H66" s="68">
        <f>I59+I60+I62+I63+I64</f>
        <v>6255.81</v>
      </c>
      <c r="I66" s="68"/>
      <c r="J66" s="68">
        <f>K59+K60+K62+K63+K64</f>
        <v>62356.739999999991</v>
      </c>
      <c r="K66" s="68"/>
      <c r="O66" s="42">
        <f>H66</f>
        <v>6255.81</v>
      </c>
      <c r="P66" s="42">
        <f>J66</f>
        <v>62356.739999999991</v>
      </c>
      <c r="X66" s="37">
        <f>IF(Source!BI36&lt;=1,I59+I60+I62+I63+I64, 0)</f>
        <v>6255.81</v>
      </c>
      <c r="Y66" s="37">
        <f>IF(Source!BI36=2,I59+I60+I62+I63+I64, 0)</f>
        <v>0</v>
      </c>
      <c r="Z66" s="37">
        <f>IF(Source!BI36=3,I59+I60+I62+I63+I64, 0)</f>
        <v>0</v>
      </c>
      <c r="AA66" s="37">
        <f>IF(Source!BI36=4,I59+I60+I62+I63+I64, 0)</f>
        <v>0</v>
      </c>
    </row>
    <row r="67" spans="1:27" ht="85.5" x14ac:dyDescent="0.2">
      <c r="A67" s="21" t="str">
        <f>Source!E37</f>
        <v>5</v>
      </c>
      <c r="B67" s="22" t="str">
        <f>Source!F37</f>
        <v>15.1-28-1</v>
      </c>
      <c r="C67" s="22" t="str">
        <f>Source!G37</f>
        <v>ПЕРЕВОЗКА ГРУНТА ИЗ-ПОД ЗДАНИЙ И КОММУНИКАЦИЙ НА РАССТОЯНИЕ 28 КМ АВТОСАМОСВАЛАМИ ГРУЗОПОДЪЕМНОСТЬЮ ДО 16Т, ПЕРЕВОЗКА ДО 28 КМ</v>
      </c>
      <c r="D67" s="24" t="str">
        <f>Source!H37</f>
        <v>м3</v>
      </c>
      <c r="E67" s="23">
        <f>Source!I37</f>
        <v>503.58199999999999</v>
      </c>
      <c r="F67" s="26"/>
      <c r="G67" s="25"/>
      <c r="H67" s="23"/>
      <c r="I67" s="27"/>
      <c r="J67" s="23"/>
      <c r="K67" s="27"/>
      <c r="Q67" s="37">
        <f>ROUND((Source!DN37/100)*ROUND((Source!AF37*Source!AV37)*Source!I37, 2), 2)</f>
        <v>0</v>
      </c>
      <c r="R67" s="37">
        <f>Source!X37</f>
        <v>0</v>
      </c>
      <c r="S67" s="37">
        <f>ROUND((Source!DO37/100)*ROUND((Source!AF37*Source!AV37)*Source!I37, 2), 2)</f>
        <v>0</v>
      </c>
      <c r="T67" s="37">
        <f>Source!Y37</f>
        <v>0</v>
      </c>
      <c r="U67" s="37">
        <f>ROUND((175/100)*ROUND((Source!AE37*Source!AV37)*Source!I37, 2), 2)</f>
        <v>0</v>
      </c>
      <c r="V67" s="37">
        <f>ROUND((167/100)*ROUND(Source!CS37*Source!I37, 2), 2)</f>
        <v>0</v>
      </c>
    </row>
    <row r="68" spans="1:27" x14ac:dyDescent="0.2">
      <c r="C68" s="34" t="str">
        <f>"Объем: "&amp;Source!I37&amp;"="&amp;Source!I36&amp;"*"&amp;"100"</f>
        <v>Объем: 503,582=5,03582*100</v>
      </c>
    </row>
    <row r="69" spans="1:27" ht="14.25" x14ac:dyDescent="0.2">
      <c r="A69" s="21"/>
      <c r="B69" s="22"/>
      <c r="C69" s="22" t="s">
        <v>451</v>
      </c>
      <c r="D69" s="24"/>
      <c r="E69" s="23"/>
      <c r="F69" s="26">
        <f>Source!AM37</f>
        <v>71.319999999999993</v>
      </c>
      <c r="G69" s="25" t="str">
        <f>Source!DE37</f>
        <v/>
      </c>
      <c r="H69" s="23">
        <f>Source!AV37</f>
        <v>1</v>
      </c>
      <c r="I69" s="27">
        <f>ROUND((Source!AD37*Source!AV37)*Source!I37, 2)</f>
        <v>35915.47</v>
      </c>
      <c r="J69" s="23">
        <f>IF(Source!BB37&lt;&gt; 0, Source!BB37, 1)</f>
        <v>8.7799999999999994</v>
      </c>
      <c r="K69" s="27">
        <f>Source!Q37</f>
        <v>315337.81</v>
      </c>
    </row>
    <row r="70" spans="1:27" ht="15" x14ac:dyDescent="0.25">
      <c r="A70" s="41"/>
      <c r="B70" s="41"/>
      <c r="C70" s="41"/>
      <c r="D70" s="41"/>
      <c r="E70" s="41"/>
      <c r="F70" s="41"/>
      <c r="G70" s="41"/>
      <c r="H70" s="68">
        <f>I69</f>
        <v>35915.47</v>
      </c>
      <c r="I70" s="68"/>
      <c r="J70" s="68">
        <f>K69</f>
        <v>315337.81</v>
      </c>
      <c r="K70" s="68"/>
      <c r="O70" s="42">
        <f>H70</f>
        <v>35915.47</v>
      </c>
      <c r="P70" s="42">
        <f>J70</f>
        <v>315337.81</v>
      </c>
      <c r="X70" s="37">
        <f>IF(Source!BI37&lt;=1,I69, 0)</f>
        <v>0</v>
      </c>
      <c r="Y70" s="37">
        <f>IF(Source!BI37=2,I69, 0)</f>
        <v>0</v>
      </c>
      <c r="Z70" s="37">
        <f>IF(Source!BI37=3,I69, 0)</f>
        <v>0</v>
      </c>
      <c r="AA70" s="37">
        <f>IF(Source!BI37=4,I69, 0)</f>
        <v>35915.47</v>
      </c>
    </row>
    <row r="71" spans="1:27" ht="99.75" x14ac:dyDescent="0.2">
      <c r="A71" s="21" t="str">
        <f>Source!E38</f>
        <v>6</v>
      </c>
      <c r="B71" s="22" t="str">
        <f>Source!F38</f>
        <v>15.1-0-9</v>
      </c>
      <c r="C71" s="22" t="str">
        <f>Source!G38</f>
        <v>РАЗМЕЩЕНИЕ ГРУНТОВ, ПОЛУЧЕННЫХ В РЕЗУЛЬТАТЕ ПРОИЗВОДСТВА ЗЕМЛЯНЫХ РАБОТ, НЕ ИСПОЛЬЗУЕМЫХ ДЛЯ ОБРАТНОЙ ЗАСЫПКИ: ГРУНТЫ НЕЗАМУСОРЕННЫЕ ЭКОЛОГИЧЕСКИ ЧИСТЫЕ</v>
      </c>
      <c r="D71" s="24" t="str">
        <f>Source!H38</f>
        <v>т</v>
      </c>
      <c r="E71" s="23">
        <f>Source!I38</f>
        <v>755.37300000000005</v>
      </c>
      <c r="F71" s="26"/>
      <c r="G71" s="25"/>
      <c r="H71" s="23"/>
      <c r="I71" s="27"/>
      <c r="J71" s="23"/>
      <c r="K71" s="27"/>
      <c r="Q71" s="37">
        <f>ROUND((Source!DN38/100)*ROUND((Source!AF38*Source!AV38)*Source!I38, 2), 2)</f>
        <v>0</v>
      </c>
      <c r="R71" s="37">
        <f>Source!X38</f>
        <v>0</v>
      </c>
      <c r="S71" s="37">
        <f>ROUND((Source!DO38/100)*ROUND((Source!AF38*Source!AV38)*Source!I38, 2), 2)</f>
        <v>0</v>
      </c>
      <c r="T71" s="37">
        <f>Source!Y38</f>
        <v>0</v>
      </c>
      <c r="U71" s="37">
        <f>ROUND((175/100)*ROUND((Source!AE38*Source!AV38)*Source!I38, 2), 2)</f>
        <v>0</v>
      </c>
      <c r="V71" s="37">
        <f>ROUND((167/100)*ROUND(Source!CS38*Source!I38, 2), 2)</f>
        <v>0</v>
      </c>
    </row>
    <row r="72" spans="1:27" x14ac:dyDescent="0.2">
      <c r="C72" s="34" t="str">
        <f>"Объем: "&amp;Source!I38&amp;"="&amp;Source!I37&amp;"*"&amp;"1,5"</f>
        <v>Объем: 755,373=503,582*1,5</v>
      </c>
    </row>
    <row r="73" spans="1:27" ht="14.25" x14ac:dyDescent="0.2">
      <c r="A73" s="21"/>
      <c r="B73" s="22"/>
      <c r="C73" s="22" t="s">
        <v>451</v>
      </c>
      <c r="D73" s="24"/>
      <c r="E73" s="23"/>
      <c r="F73" s="26">
        <f>Source!AM38</f>
        <v>43.28</v>
      </c>
      <c r="G73" s="25" t="str">
        <f>Source!DE38</f>
        <v/>
      </c>
      <c r="H73" s="23">
        <f>Source!AV38</f>
        <v>1</v>
      </c>
      <c r="I73" s="27">
        <f>ROUND((Source!AD38*Source!AV38)*Source!I38, 2)</f>
        <v>32692.54</v>
      </c>
      <c r="J73" s="23">
        <f>IF(Source!BB38&lt;&gt; 0, Source!BB38, 1)</f>
        <v>2.09</v>
      </c>
      <c r="K73" s="27">
        <f>Source!Q38</f>
        <v>68327.42</v>
      </c>
    </row>
    <row r="74" spans="1:27" ht="15" x14ac:dyDescent="0.25">
      <c r="A74" s="41"/>
      <c r="B74" s="41"/>
      <c r="C74" s="41"/>
      <c r="D74" s="41"/>
      <c r="E74" s="41"/>
      <c r="F74" s="41"/>
      <c r="G74" s="41"/>
      <c r="H74" s="68">
        <f>I73</f>
        <v>32692.54</v>
      </c>
      <c r="I74" s="68"/>
      <c r="J74" s="68">
        <f>K73</f>
        <v>68327.42</v>
      </c>
      <c r="K74" s="68"/>
      <c r="O74" s="42">
        <f>H74</f>
        <v>32692.54</v>
      </c>
      <c r="P74" s="42">
        <f>J74</f>
        <v>68327.42</v>
      </c>
      <c r="X74" s="37">
        <f>IF(Source!BI38&lt;=1,I73, 0)</f>
        <v>0</v>
      </c>
      <c r="Y74" s="37">
        <f>IF(Source!BI38=2,I73, 0)</f>
        <v>0</v>
      </c>
      <c r="Z74" s="37">
        <f>IF(Source!BI38=3,I73, 0)</f>
        <v>0</v>
      </c>
      <c r="AA74" s="37">
        <f>IF(Source!BI38=4,I73, 0)</f>
        <v>32692.54</v>
      </c>
    </row>
    <row r="75" spans="1:27" ht="71.25" x14ac:dyDescent="0.2">
      <c r="A75" s="21" t="str">
        <f>Source!E39</f>
        <v>7</v>
      </c>
      <c r="B75" s="22" t="str">
        <f>Source!F39</f>
        <v>15.1-28-5</v>
      </c>
      <c r="C75" s="22" t="str">
        <f>Source!G39</f>
        <v>ПЕРЕВОЗКА СТРОИТЕЛЬНОГО МУСОРА НА РАССТОЯНИЕ 28 КМ АВТОСАМОСВАЛАМИ ГРУЗОПОДЪЕМНОСТЬЮ ДО 16 Т, ПЕРЕВОЗКА ДО 28 КМ</v>
      </c>
      <c r="D75" s="24" t="str">
        <f>Source!H39</f>
        <v>т</v>
      </c>
      <c r="E75" s="23">
        <f>Source!I39</f>
        <v>185.12899999999999</v>
      </c>
      <c r="F75" s="26"/>
      <c r="G75" s="25"/>
      <c r="H75" s="23"/>
      <c r="I75" s="27"/>
      <c r="J75" s="23"/>
      <c r="K75" s="27"/>
      <c r="Q75" s="37">
        <f>ROUND((Source!DN39/100)*ROUND((Source!AF39*Source!AV39)*Source!I39, 2), 2)</f>
        <v>0</v>
      </c>
      <c r="R75" s="37">
        <f>Source!X39</f>
        <v>0</v>
      </c>
      <c r="S75" s="37">
        <f>ROUND((Source!DO39/100)*ROUND((Source!AF39*Source!AV39)*Source!I39, 2), 2)</f>
        <v>0</v>
      </c>
      <c r="T75" s="37">
        <f>Source!Y39</f>
        <v>0</v>
      </c>
      <c r="U75" s="37">
        <f>ROUND((175/100)*ROUND((Source!AE39*Source!AV39)*Source!I39, 2), 2)</f>
        <v>0</v>
      </c>
      <c r="V75" s="37">
        <f>ROUND((167/100)*ROUND(Source!CS39*Source!I39, 2), 2)</f>
        <v>0</v>
      </c>
    </row>
    <row r="76" spans="1:27" ht="14.25" x14ac:dyDescent="0.2">
      <c r="A76" s="21"/>
      <c r="B76" s="22"/>
      <c r="C76" s="22" t="s">
        <v>451</v>
      </c>
      <c r="D76" s="24"/>
      <c r="E76" s="23"/>
      <c r="F76" s="26">
        <f>Source!AM39</f>
        <v>58.32</v>
      </c>
      <c r="G76" s="25" t="str">
        <f>Source!DE39</f>
        <v/>
      </c>
      <c r="H76" s="23">
        <f>Source!AV39</f>
        <v>1</v>
      </c>
      <c r="I76" s="27">
        <f>ROUND((Source!AD39*Source!AV39)*Source!I39, 2)</f>
        <v>10796.72</v>
      </c>
      <c r="J76" s="23">
        <f>IF(Source!BB39&lt;&gt; 0, Source!BB39, 1)</f>
        <v>7.62</v>
      </c>
      <c r="K76" s="27">
        <f>Source!Q39</f>
        <v>82271.03</v>
      </c>
    </row>
    <row r="77" spans="1:27" ht="15" x14ac:dyDescent="0.25">
      <c r="A77" s="41"/>
      <c r="B77" s="41"/>
      <c r="C77" s="41"/>
      <c r="D77" s="41"/>
      <c r="E77" s="41"/>
      <c r="F77" s="41"/>
      <c r="G77" s="41"/>
      <c r="H77" s="68">
        <f>I76</f>
        <v>10796.72</v>
      </c>
      <c r="I77" s="68"/>
      <c r="J77" s="68">
        <f>K76</f>
        <v>82271.03</v>
      </c>
      <c r="K77" s="68"/>
      <c r="O77" s="42">
        <f>H77</f>
        <v>10796.72</v>
      </c>
      <c r="P77" s="42">
        <f>J77</f>
        <v>82271.03</v>
      </c>
      <c r="X77" s="37">
        <f>IF(Source!BI39&lt;=1,I76, 0)</f>
        <v>0</v>
      </c>
      <c r="Y77" s="37">
        <f>IF(Source!BI39=2,I76, 0)</f>
        <v>0</v>
      </c>
      <c r="Z77" s="37">
        <f>IF(Source!BI39=3,I76, 0)</f>
        <v>0</v>
      </c>
      <c r="AA77" s="37">
        <f>IF(Source!BI39=4,I76, 0)</f>
        <v>10796.72</v>
      </c>
    </row>
    <row r="78" spans="1:27" ht="28.5" x14ac:dyDescent="0.2">
      <c r="A78" s="21" t="str">
        <f>Source!E40</f>
        <v>8</v>
      </c>
      <c r="B78" s="22" t="str">
        <f>Source!F40</f>
        <v>15.1-0-1</v>
      </c>
      <c r="C78" s="22" t="str">
        <f>Source!G40</f>
        <v>СОДЕРЖАНИЕ СВАЛКИ ОТХОДОВ СТРОИТЕЛЬСТВА И СНОСА</v>
      </c>
      <c r="D78" s="24" t="str">
        <f>Source!H40</f>
        <v>т</v>
      </c>
      <c r="E78" s="23">
        <f>Source!I40</f>
        <v>185.12899999999999</v>
      </c>
      <c r="F78" s="26"/>
      <c r="G78" s="25"/>
      <c r="H78" s="23"/>
      <c r="I78" s="27"/>
      <c r="J78" s="23"/>
      <c r="K78" s="27"/>
      <c r="Q78" s="37">
        <f>ROUND((Source!DN40/100)*ROUND((Source!AF40*Source!AV40)*Source!I40, 2), 2)</f>
        <v>0</v>
      </c>
      <c r="R78" s="37">
        <f>Source!X40</f>
        <v>0</v>
      </c>
      <c r="S78" s="37">
        <f>ROUND((Source!DO40/100)*ROUND((Source!AF40*Source!AV40)*Source!I40, 2), 2)</f>
        <v>0</v>
      </c>
      <c r="T78" s="37">
        <f>Source!Y40</f>
        <v>0</v>
      </c>
      <c r="U78" s="37">
        <f>ROUND((175/100)*ROUND((Source!AE40*Source!AV40)*Source!I40, 2), 2)</f>
        <v>0</v>
      </c>
      <c r="V78" s="37">
        <f>ROUND((167/100)*ROUND(Source!CS40*Source!I40, 2), 2)</f>
        <v>0</v>
      </c>
    </row>
    <row r="79" spans="1:27" ht="14.25" x14ac:dyDescent="0.2">
      <c r="A79" s="21"/>
      <c r="B79" s="22"/>
      <c r="C79" s="22" t="s">
        <v>451</v>
      </c>
      <c r="D79" s="24"/>
      <c r="E79" s="23"/>
      <c r="F79" s="26">
        <f>Source!AM40</f>
        <v>101</v>
      </c>
      <c r="G79" s="25" t="str">
        <f>Source!DE40</f>
        <v/>
      </c>
      <c r="H79" s="23">
        <f>Source!AV40</f>
        <v>1</v>
      </c>
      <c r="I79" s="27">
        <f>ROUND((Source!AD40*Source!AV40)*Source!I40, 2)</f>
        <v>18698.03</v>
      </c>
      <c r="J79" s="23">
        <f>IF(Source!BB40&lt;&gt; 0, Source!BB40, 1)</f>
        <v>2.0099999999999998</v>
      </c>
      <c r="K79" s="27">
        <f>Source!Q40</f>
        <v>37583.040000000001</v>
      </c>
    </row>
    <row r="80" spans="1:27" ht="15" x14ac:dyDescent="0.25">
      <c r="A80" s="41"/>
      <c r="B80" s="41"/>
      <c r="C80" s="41"/>
      <c r="D80" s="41"/>
      <c r="E80" s="41"/>
      <c r="F80" s="41"/>
      <c r="G80" s="41"/>
      <c r="H80" s="68">
        <f>I79</f>
        <v>18698.03</v>
      </c>
      <c r="I80" s="68"/>
      <c r="J80" s="68">
        <f>K79</f>
        <v>37583.040000000001</v>
      </c>
      <c r="K80" s="68"/>
      <c r="O80" s="42">
        <f>H80</f>
        <v>18698.03</v>
      </c>
      <c r="P80" s="42">
        <f>J80</f>
        <v>37583.040000000001</v>
      </c>
      <c r="X80" s="37">
        <f>IF(Source!BI40&lt;=1,I79, 0)</f>
        <v>0</v>
      </c>
      <c r="Y80" s="37">
        <f>IF(Source!BI40=2,I79, 0)</f>
        <v>0</v>
      </c>
      <c r="Z80" s="37">
        <f>IF(Source!BI40=3,I79, 0)</f>
        <v>0</v>
      </c>
      <c r="AA80" s="37">
        <f>IF(Source!BI40=4,I79, 0)</f>
        <v>18698.03</v>
      </c>
    </row>
    <row r="82" spans="1:32" ht="15" x14ac:dyDescent="0.25">
      <c r="A82" s="58" t="str">
        <f>CONCATENATE("Итого по разделу: ",IF(Source!G42&lt;&gt;"Новый раздел", Source!G42, ""))</f>
        <v>Итого по разделу: Тепловая сеть 2Ду80 ППУ-ПЭ в непроходном канале - 50 п.м</v>
      </c>
      <c r="B82" s="58"/>
      <c r="C82" s="58"/>
      <c r="D82" s="58"/>
      <c r="E82" s="58"/>
      <c r="F82" s="58"/>
      <c r="G82" s="58"/>
      <c r="H82" s="59">
        <f>SUM(O22:O81)</f>
        <v>718949.50000000012</v>
      </c>
      <c r="I82" s="57"/>
      <c r="J82" s="59">
        <f>SUM(P22:P81)</f>
        <v>5260145.76</v>
      </c>
      <c r="K82" s="57"/>
      <c r="AF82" s="35" t="str">
        <f>CONCATENATE("Итого по разделу: ",IF(Source!G42&lt;&gt;"Новый раздел", Source!G42, ""))</f>
        <v>Итого по разделу: Тепловая сеть 2Ду80 ППУ-ПЭ в непроходном канале - 50 п.м</v>
      </c>
    </row>
    <row r="85" spans="1:32" ht="16.5" x14ac:dyDescent="0.25">
      <c r="A85" s="67" t="str">
        <f>CONCATENATE("Раздел: ",IF(Source!G68&lt;&gt;"Новый раздел", Source!G68, ""))</f>
        <v>Раздел: Тепловая сеть 2Ду80 ППУ-ПЭ бесканально - 60 п.м</v>
      </c>
      <c r="B85" s="67"/>
      <c r="C85" s="67"/>
      <c r="D85" s="67"/>
      <c r="E85" s="67"/>
      <c r="F85" s="67"/>
      <c r="G85" s="67"/>
      <c r="H85" s="67"/>
      <c r="I85" s="67"/>
      <c r="J85" s="67"/>
      <c r="K85" s="67"/>
      <c r="AE85" s="20" t="str">
        <f>CONCATENATE("Раздел: ",IF(Source!G68&lt;&gt;"Новый раздел", Source!G68, ""))</f>
        <v>Раздел: Тепловая сеть 2Ду80 ППУ-ПЭ бесканально - 60 п.м</v>
      </c>
    </row>
    <row r="86" spans="1:32" ht="141" x14ac:dyDescent="0.2">
      <c r="A86" s="21" t="str">
        <f>Source!E72</f>
        <v>9</v>
      </c>
      <c r="B86" s="22" t="str">
        <f>Source!F72</f>
        <v>16.1-3001-1</v>
      </c>
      <c r="C86" s="22" t="s">
        <v>459</v>
      </c>
      <c r="D86" s="24" t="str">
        <f>Source!H72</f>
        <v>м</v>
      </c>
      <c r="E86" s="23">
        <f>Source!I72</f>
        <v>60</v>
      </c>
      <c r="F86" s="26"/>
      <c r="G86" s="25"/>
      <c r="H86" s="23"/>
      <c r="I86" s="27"/>
      <c r="J86" s="23"/>
      <c r="K86" s="27"/>
      <c r="Q86" s="37">
        <f>ROUND((Source!DN72/100)*ROUND((Source!AF72*Source!AV72)*Source!I72, 2), 2)</f>
        <v>0</v>
      </c>
      <c r="R86" s="37">
        <f>Source!X72</f>
        <v>0</v>
      </c>
      <c r="S86" s="37">
        <f>ROUND((Source!DO72/100)*ROUND((Source!AF72*Source!AV72)*Source!I72, 2), 2)</f>
        <v>0</v>
      </c>
      <c r="T86" s="37">
        <f>Source!Y72</f>
        <v>0</v>
      </c>
      <c r="U86" s="37">
        <f>ROUND((175/100)*ROUND((Source!AE72*Source!AV72)*Source!I72, 2), 2)</f>
        <v>0</v>
      </c>
      <c r="V86" s="37">
        <f>ROUND((167/100)*ROUND(Source!CS72*Source!I72, 2), 2)</f>
        <v>0</v>
      </c>
    </row>
    <row r="87" spans="1:32" ht="14.25" x14ac:dyDescent="0.2">
      <c r="A87" s="21"/>
      <c r="B87" s="22"/>
      <c r="C87" s="22" t="s">
        <v>443</v>
      </c>
      <c r="D87" s="24"/>
      <c r="E87" s="23"/>
      <c r="F87" s="26"/>
      <c r="G87" s="25"/>
      <c r="H87" s="23"/>
      <c r="I87" s="27">
        <f>I88+I89+I90+I91+SUM(I92:I93)</f>
        <v>224607.87</v>
      </c>
      <c r="J87" s="23"/>
      <c r="K87" s="27">
        <f>K88+K89+K90+K91+SUM(K92:K93)</f>
        <v>1142442.01</v>
      </c>
    </row>
    <row r="88" spans="1:32" ht="14.25" x14ac:dyDescent="0.2">
      <c r="A88" s="21"/>
      <c r="B88" s="22"/>
      <c r="C88" s="22" t="s">
        <v>444</v>
      </c>
      <c r="D88" s="24"/>
      <c r="E88" s="23"/>
      <c r="F88" s="26">
        <f>Source!AO72</f>
        <v>509</v>
      </c>
      <c r="G88" s="25" t="str">
        <f>Source!DG72</f>
        <v>*1,15*0,85</v>
      </c>
      <c r="H88" s="23">
        <f>Source!AV72</f>
        <v>1</v>
      </c>
      <c r="I88" s="27">
        <f>ROUND((Source!AF72*Source!AV72)*Source!I72, 2)</f>
        <v>29852.85</v>
      </c>
      <c r="J88" s="23">
        <f>IF(Source!BA72&lt;&gt; 0, Source!BA72, 1)</f>
        <v>13.71</v>
      </c>
      <c r="K88" s="27">
        <f>Source!S72</f>
        <v>409282.57</v>
      </c>
      <c r="W88" s="37">
        <f>ROUND((Source!AF72*Source!AV72)*Source!I72, 2)</f>
        <v>29852.85</v>
      </c>
    </row>
    <row r="89" spans="1:32" ht="14.25" x14ac:dyDescent="0.2">
      <c r="A89" s="21"/>
      <c r="B89" s="22"/>
      <c r="C89" s="22" t="s">
        <v>445</v>
      </c>
      <c r="D89" s="24"/>
      <c r="E89" s="23"/>
      <c r="F89" s="26">
        <f>Source!AM72</f>
        <v>167</v>
      </c>
      <c r="G89" s="25" t="str">
        <f>Source!DE72</f>
        <v>*1,15*0,74</v>
      </c>
      <c r="H89" s="23">
        <f>Source!AV72</f>
        <v>1</v>
      </c>
      <c r="I89" s="27">
        <f>ROUND((Source!AD72*Source!AV72)*Source!I72, 2)</f>
        <v>8527.02</v>
      </c>
      <c r="J89" s="23">
        <f>IF(Source!BB72&lt;&gt; 0, Source!BB72, 1)</f>
        <v>9.76</v>
      </c>
      <c r="K89" s="27">
        <f>Source!Q72</f>
        <v>83223.72</v>
      </c>
    </row>
    <row r="90" spans="1:32" ht="14.25" x14ac:dyDescent="0.2">
      <c r="A90" s="21"/>
      <c r="B90" s="22"/>
      <c r="C90" s="22" t="s">
        <v>446</v>
      </c>
      <c r="D90" s="24"/>
      <c r="E90" s="23"/>
      <c r="F90" s="26">
        <f>Source!AL72</f>
        <v>4434</v>
      </c>
      <c r="G90" s="25" t="str">
        <f>Source!DD72</f>
        <v>*0,70</v>
      </c>
      <c r="H90" s="23">
        <f>Source!AW72</f>
        <v>1</v>
      </c>
      <c r="I90" s="27">
        <f>ROUND((Source!AC72*Source!AW72)*Source!I72, 2)</f>
        <v>186228</v>
      </c>
      <c r="J90" s="23">
        <f>IF(Source!BC72&lt;&gt; 0, Source!BC72, 1)</f>
        <v>3.49</v>
      </c>
      <c r="K90" s="27">
        <f>Source!P72</f>
        <v>649935.72</v>
      </c>
    </row>
    <row r="91" spans="1:32" ht="14.25" x14ac:dyDescent="0.2">
      <c r="A91" s="21"/>
      <c r="B91" s="22"/>
      <c r="C91" s="22" t="s">
        <v>120</v>
      </c>
      <c r="D91" s="24"/>
      <c r="E91" s="23"/>
      <c r="F91" s="26">
        <f>Source!GT72</f>
        <v>0</v>
      </c>
      <c r="G91" s="25"/>
      <c r="H91" s="23"/>
      <c r="I91" s="27">
        <f>Source!GT72*Source!I72</f>
        <v>0</v>
      </c>
      <c r="J91" s="23">
        <f>IF(Source!GU72&lt;&gt; 0, Source!GU72, 1)</f>
        <v>5.61</v>
      </c>
      <c r="K91" s="27">
        <f>Source!GT72*Source!GU72*Source!I72</f>
        <v>0</v>
      </c>
    </row>
    <row r="92" spans="1:32" ht="14.25" x14ac:dyDescent="0.2">
      <c r="A92" s="21" t="str">
        <f>Source!E73</f>
        <v>9,1</v>
      </c>
      <c r="B92" s="22" t="str">
        <f>Source!F73</f>
        <v>0.0-0-0</v>
      </c>
      <c r="C92" s="22" t="str">
        <f>Source!G73</f>
        <v>МАССА МУСОРА</v>
      </c>
      <c r="D92" s="24" t="str">
        <f>Source!H73</f>
        <v>т</v>
      </c>
      <c r="E92" s="23">
        <f>Source!I73</f>
        <v>-5.8799999999999998E-3</v>
      </c>
      <c r="F92" s="26">
        <f>Source!AK73</f>
        <v>0</v>
      </c>
      <c r="G92" s="28" t="s">
        <v>460</v>
      </c>
      <c r="H92" s="23">
        <f>Source!AW73</f>
        <v>1</v>
      </c>
      <c r="I92" s="27">
        <f>ROUND((Source!AC73*Source!AW73)*Source!I73, 2)+ROUND((Source!AD73*Source!AV73)*Source!I73, 2)+ROUND((Source!AF73*Source!AV73)*Source!I73, 2)</f>
        <v>0</v>
      </c>
      <c r="J92" s="23">
        <f>IF(Source!BC73&lt;&gt; 0, Source!BC73, 1)</f>
        <v>1</v>
      </c>
      <c r="K92" s="27">
        <f>Source!O73</f>
        <v>0</v>
      </c>
      <c r="Q92" s="37">
        <f>ROUND((Source!DN73/100)*ROUND((Source!AF73*Source!AV73)*Source!I73, 2), 2)</f>
        <v>0</v>
      </c>
      <c r="R92" s="37">
        <f>Source!X73</f>
        <v>0</v>
      </c>
      <c r="S92" s="37">
        <f>ROUND((Source!DO73/100)*ROUND((Source!AF73*Source!AV73)*Source!I73, 2), 2)</f>
        <v>0</v>
      </c>
      <c r="T92" s="37">
        <f>Source!Y73</f>
        <v>0</v>
      </c>
      <c r="U92" s="37">
        <f>ROUND((175/100)*ROUND((Source!AE73*Source!AV73)*Source!I73, 2), 2)</f>
        <v>0</v>
      </c>
      <c r="V92" s="37">
        <f>ROUND((167/100)*ROUND(Source!CS73*Source!I73, 2), 2)</f>
        <v>0</v>
      </c>
      <c r="X92" s="37">
        <f>IF(Source!BI73&lt;=1,I92, 0)</f>
        <v>0</v>
      </c>
      <c r="Y92" s="37">
        <f>IF(Source!BI73=2,I92, 0)</f>
        <v>0</v>
      </c>
      <c r="Z92" s="37">
        <f>IF(Source!BI73=3,I92, 0)</f>
        <v>0</v>
      </c>
      <c r="AA92" s="37">
        <f>IF(Source!BI73=4,I92, 0)</f>
        <v>0</v>
      </c>
    </row>
    <row r="93" spans="1:32" ht="14.25" x14ac:dyDescent="0.2">
      <c r="A93" s="21" t="str">
        <f>Source!E74</f>
        <v>9,2</v>
      </c>
      <c r="B93" s="22" t="str">
        <f>Source!F74</f>
        <v>0.0-0-0</v>
      </c>
      <c r="C93" s="22" t="str">
        <f>Source!G74</f>
        <v>ОБЪЕМ ГРУНТА</v>
      </c>
      <c r="D93" s="24" t="str">
        <f>Source!H74</f>
        <v>м3</v>
      </c>
      <c r="E93" s="23">
        <f>Source!I74</f>
        <v>-36.7836</v>
      </c>
      <c r="F93" s="26">
        <f>Source!AK74</f>
        <v>0</v>
      </c>
      <c r="G93" s="28" t="s">
        <v>460</v>
      </c>
      <c r="H93" s="23">
        <f>Source!AW74</f>
        <v>1</v>
      </c>
      <c r="I93" s="27">
        <f>ROUND((Source!AC74*Source!AW74)*Source!I74, 2)+ROUND((Source!AD74*Source!AV74)*Source!I74, 2)+ROUND((Source!AF74*Source!AV74)*Source!I74, 2)</f>
        <v>0</v>
      </c>
      <c r="J93" s="23">
        <f>IF(Source!BC74&lt;&gt; 0, Source!BC74, 1)</f>
        <v>1</v>
      </c>
      <c r="K93" s="27">
        <f>Source!O74</f>
        <v>0</v>
      </c>
      <c r="Q93" s="37">
        <f>ROUND((Source!DN74/100)*ROUND((Source!AF74*Source!AV74)*Source!I74, 2), 2)</f>
        <v>0</v>
      </c>
      <c r="R93" s="37">
        <f>Source!X74</f>
        <v>0</v>
      </c>
      <c r="S93" s="37">
        <f>ROUND((Source!DO74/100)*ROUND((Source!AF74*Source!AV74)*Source!I74, 2), 2)</f>
        <v>0</v>
      </c>
      <c r="T93" s="37">
        <f>Source!Y74</f>
        <v>0</v>
      </c>
      <c r="U93" s="37">
        <f>ROUND((175/100)*ROUND((Source!AE74*Source!AV74)*Source!I74, 2), 2)</f>
        <v>0</v>
      </c>
      <c r="V93" s="37">
        <f>ROUND((167/100)*ROUND(Source!CS74*Source!I74, 2), 2)</f>
        <v>0</v>
      </c>
      <c r="X93" s="37">
        <f>IF(Source!BI74&lt;=1,I93, 0)</f>
        <v>0</v>
      </c>
      <c r="Y93" s="37">
        <f>IF(Source!BI74=2,I93, 0)</f>
        <v>0</v>
      </c>
      <c r="Z93" s="37">
        <f>IF(Source!BI74=3,I93, 0)</f>
        <v>0</v>
      </c>
      <c r="AA93" s="37">
        <f>IF(Source!BI74=4,I93, 0)</f>
        <v>0</v>
      </c>
    </row>
    <row r="94" spans="1:32" ht="14.25" x14ac:dyDescent="0.2">
      <c r="A94" s="29"/>
      <c r="B94" s="30"/>
      <c r="C94" s="30" t="s">
        <v>448</v>
      </c>
      <c r="D94" s="24"/>
      <c r="E94" s="31"/>
      <c r="F94" s="32">
        <f>Source!GV72</f>
        <v>-0.87580000000000002</v>
      </c>
      <c r="G94" s="24"/>
      <c r="H94" s="31"/>
      <c r="I94" s="33"/>
      <c r="J94" s="31"/>
      <c r="K94" s="33">
        <f>Source!GV72*Source!I72</f>
        <v>-52.548000000000002</v>
      </c>
    </row>
    <row r="95" spans="1:32" ht="14.25" x14ac:dyDescent="0.2">
      <c r="A95" s="29"/>
      <c r="B95" s="30"/>
      <c r="C95" s="30" t="s">
        <v>449</v>
      </c>
      <c r="D95" s="24"/>
      <c r="E95" s="31"/>
      <c r="F95" s="32">
        <f>Source!GW72</f>
        <v>-1.3999999999999999E-4</v>
      </c>
      <c r="G95" s="24"/>
      <c r="H95" s="31"/>
      <c r="I95" s="33"/>
      <c r="J95" s="31"/>
      <c r="K95" s="33">
        <f>Source!GW72*Source!I72</f>
        <v>-8.3999999999999995E-3</v>
      </c>
    </row>
    <row r="96" spans="1:32" ht="15" x14ac:dyDescent="0.25">
      <c r="A96" s="41"/>
      <c r="B96" s="41"/>
      <c r="C96" s="41"/>
      <c r="D96" s="41"/>
      <c r="E96" s="41"/>
      <c r="F96" s="41"/>
      <c r="G96" s="41"/>
      <c r="H96" s="68">
        <f>I88+I89+I90+I91+SUM(I92:I93)</f>
        <v>224607.87</v>
      </c>
      <c r="I96" s="68"/>
      <c r="J96" s="68">
        <f>K88+K89+K90+K91+SUM(K92:K93)</f>
        <v>1142442.01</v>
      </c>
      <c r="K96" s="68"/>
      <c r="O96" s="42">
        <f>H96</f>
        <v>224607.87</v>
      </c>
      <c r="P96" s="42">
        <f>J96</f>
        <v>1142442.01</v>
      </c>
      <c r="X96" s="37">
        <f>IF(Source!BI72&lt;=1,I88+I89+I90+I91, 0)</f>
        <v>224607.87</v>
      </c>
      <c r="Y96" s="37">
        <f>IF(Source!BI72=2,I88+I89+I90+I91, 0)</f>
        <v>0</v>
      </c>
      <c r="Z96" s="37">
        <f>IF(Source!BI72=3,I88+I89+I90+I91, 0)</f>
        <v>0</v>
      </c>
      <c r="AA96" s="37">
        <f>IF(Source!BI72=4,I88+I89+I90+I91, 0)</f>
        <v>0</v>
      </c>
    </row>
    <row r="97" spans="1:27" ht="85.5" x14ac:dyDescent="0.2">
      <c r="A97" s="21" t="str">
        <f>Source!E75</f>
        <v>10</v>
      </c>
      <c r="B97" s="22" t="str">
        <f>Source!F75</f>
        <v>3.24-24-1</v>
      </c>
      <c r="C97" s="22" t="str">
        <f>Source!G75</f>
        <v>КОНТРОЛЬ СВАРНЫХ СОЕДИНЕНИЙ ПРОСВЕЧИВАНИЕМ РЕНТГЕНОВСКИМИ УСТАНОВКАМИ ЧЕРЕЗ ДВЕ СТЕНКИ ТРУБОПРОВОДОВ ДИАМЕТРОМ, ММ, ДО: 100</v>
      </c>
      <c r="D97" s="24" t="str">
        <f>Source!H75</f>
        <v>стык</v>
      </c>
      <c r="E97" s="23">
        <f>Source!I75</f>
        <v>16</v>
      </c>
      <c r="F97" s="26"/>
      <c r="G97" s="25"/>
      <c r="H97" s="23"/>
      <c r="I97" s="27"/>
      <c r="J97" s="23"/>
      <c r="K97" s="27"/>
      <c r="Q97" s="37">
        <f>ROUND((Source!DN75/100)*ROUND((Source!AF75*Source!AV75)*Source!I75, 2), 2)</f>
        <v>1233.26</v>
      </c>
      <c r="R97" s="37">
        <f>Source!X75</f>
        <v>18132.7</v>
      </c>
      <c r="S97" s="37">
        <f>ROUND((Source!DO75/100)*ROUND((Source!AF75*Source!AV75)*Source!I75, 2), 2)</f>
        <v>1047.8</v>
      </c>
      <c r="T97" s="37">
        <f>Source!Y75</f>
        <v>9228.25</v>
      </c>
      <c r="U97" s="37">
        <f>ROUND((175/100)*ROUND((Source!AE75*Source!AV75)*Source!I75, 2), 2)</f>
        <v>411.25</v>
      </c>
      <c r="V97" s="37">
        <f>ROUND((167/100)*ROUND(Source!CS75*Source!I75, 2), 2)</f>
        <v>6852.31</v>
      </c>
    </row>
    <row r="98" spans="1:27" ht="14.25" x14ac:dyDescent="0.2">
      <c r="A98" s="21"/>
      <c r="B98" s="22"/>
      <c r="C98" s="22" t="s">
        <v>450</v>
      </c>
      <c r="D98" s="24"/>
      <c r="E98" s="23"/>
      <c r="F98" s="26">
        <f>Source!AO75</f>
        <v>47.23</v>
      </c>
      <c r="G98" s="25" t="str">
        <f>Source!DG75</f>
        <v>*1,15</v>
      </c>
      <c r="H98" s="23">
        <f>Source!AV75</f>
        <v>1.0669999999999999</v>
      </c>
      <c r="I98" s="27">
        <f>ROUND((Source!AF75*Source!AV75)*Source!I75, 2)</f>
        <v>927.26</v>
      </c>
      <c r="J98" s="23">
        <f>IF(Source!BA75&lt;&gt; 0, Source!BA75, 1)</f>
        <v>17.46</v>
      </c>
      <c r="K98" s="27">
        <f>Source!S75</f>
        <v>16189.91</v>
      </c>
      <c r="W98" s="37">
        <f>ROUND((Source!AF75*Source!AV75)*Source!I75, 2)</f>
        <v>927.26</v>
      </c>
    </row>
    <row r="99" spans="1:27" ht="14.25" x14ac:dyDescent="0.2">
      <c r="A99" s="21"/>
      <c r="B99" s="22"/>
      <c r="C99" s="22" t="s">
        <v>451</v>
      </c>
      <c r="D99" s="24"/>
      <c r="E99" s="23"/>
      <c r="F99" s="26">
        <f>Source!AM75</f>
        <v>45.14</v>
      </c>
      <c r="G99" s="25" t="str">
        <f>Source!DE75</f>
        <v>*1,15</v>
      </c>
      <c r="H99" s="23">
        <f>Source!AV75</f>
        <v>1.0669999999999999</v>
      </c>
      <c r="I99" s="27">
        <f>ROUND((Source!AD75*Source!AV75)*Source!I75, 2)</f>
        <v>886.22</v>
      </c>
      <c r="J99" s="23">
        <f>IF(Source!BB75&lt;&gt; 0, Source!BB75, 1)</f>
        <v>9.0500000000000007</v>
      </c>
      <c r="K99" s="27">
        <f>Source!Q75</f>
        <v>8020.33</v>
      </c>
    </row>
    <row r="100" spans="1:27" ht="14.25" x14ac:dyDescent="0.2">
      <c r="A100" s="21"/>
      <c r="B100" s="22"/>
      <c r="C100" s="22" t="s">
        <v>452</v>
      </c>
      <c r="D100" s="24"/>
      <c r="E100" s="23"/>
      <c r="F100" s="26">
        <f>Source!AN75</f>
        <v>11.97</v>
      </c>
      <c r="G100" s="25" t="str">
        <f>Source!DF75</f>
        <v>*1,15</v>
      </c>
      <c r="H100" s="23">
        <f>Source!AV75</f>
        <v>1.0669999999999999</v>
      </c>
      <c r="I100" s="33">
        <f>ROUND((Source!AE75*Source!AV75)*Source!I75, 2)</f>
        <v>235</v>
      </c>
      <c r="J100" s="23">
        <f>IF(Source!BS75&lt;&gt; 0, Source!BS75, 1)</f>
        <v>17.46</v>
      </c>
      <c r="K100" s="33">
        <f>Source!R75</f>
        <v>4103.18</v>
      </c>
      <c r="W100" s="37">
        <f>ROUND((Source!AE75*Source!AV75)*Source!I75, 2)</f>
        <v>235</v>
      </c>
    </row>
    <row r="101" spans="1:27" ht="14.25" x14ac:dyDescent="0.2">
      <c r="A101" s="21"/>
      <c r="B101" s="22"/>
      <c r="C101" s="22" t="s">
        <v>446</v>
      </c>
      <c r="D101" s="24"/>
      <c r="E101" s="23"/>
      <c r="F101" s="26">
        <f>Source!AL75</f>
        <v>32.4</v>
      </c>
      <c r="G101" s="25" t="str">
        <f>Source!DD75</f>
        <v/>
      </c>
      <c r="H101" s="23">
        <f>Source!AW75</f>
        <v>1.0029999999999999</v>
      </c>
      <c r="I101" s="27">
        <f>ROUND((Source!AC75*Source!AW75)*Source!I75, 2)</f>
        <v>519.96</v>
      </c>
      <c r="J101" s="23">
        <f>IF(Source!BC75&lt;&gt; 0, Source!BC75, 1)</f>
        <v>4.7300000000000004</v>
      </c>
      <c r="K101" s="27">
        <f>Source!P75</f>
        <v>2459.39</v>
      </c>
    </row>
    <row r="102" spans="1:27" ht="14.25" x14ac:dyDescent="0.2">
      <c r="A102" s="21"/>
      <c r="B102" s="22"/>
      <c r="C102" s="22" t="s">
        <v>453</v>
      </c>
      <c r="D102" s="24" t="s">
        <v>454</v>
      </c>
      <c r="E102" s="23">
        <f>Source!DN75</f>
        <v>133</v>
      </c>
      <c r="F102" s="26"/>
      <c r="G102" s="25"/>
      <c r="H102" s="23"/>
      <c r="I102" s="27">
        <f>SUM(Q97:Q101)</f>
        <v>1233.26</v>
      </c>
      <c r="J102" s="23">
        <f>Source!BZ75</f>
        <v>112</v>
      </c>
      <c r="K102" s="27">
        <f>SUM(R97:R101)</f>
        <v>18132.7</v>
      </c>
    </row>
    <row r="103" spans="1:27" ht="14.25" x14ac:dyDescent="0.2">
      <c r="A103" s="21"/>
      <c r="B103" s="22"/>
      <c r="C103" s="22" t="s">
        <v>455</v>
      </c>
      <c r="D103" s="24" t="s">
        <v>454</v>
      </c>
      <c r="E103" s="23">
        <f>Source!DO75</f>
        <v>113</v>
      </c>
      <c r="F103" s="26"/>
      <c r="G103" s="25"/>
      <c r="H103" s="23"/>
      <c r="I103" s="27">
        <f>SUM(S97:S102)</f>
        <v>1047.8</v>
      </c>
      <c r="J103" s="23">
        <f>Source!CA75</f>
        <v>57</v>
      </c>
      <c r="K103" s="27">
        <f>SUM(T97:T102)</f>
        <v>9228.25</v>
      </c>
    </row>
    <row r="104" spans="1:27" ht="14.25" x14ac:dyDescent="0.2">
      <c r="A104" s="21"/>
      <c r="B104" s="22"/>
      <c r="C104" s="22" t="s">
        <v>456</v>
      </c>
      <c r="D104" s="24" t="s">
        <v>454</v>
      </c>
      <c r="E104" s="23">
        <f>175</f>
        <v>175</v>
      </c>
      <c r="F104" s="26"/>
      <c r="G104" s="25"/>
      <c r="H104" s="23"/>
      <c r="I104" s="27">
        <f>SUM(U97:U103)</f>
        <v>411.25</v>
      </c>
      <c r="J104" s="23">
        <f>167</f>
        <v>167</v>
      </c>
      <c r="K104" s="27">
        <f>SUM(V97:V103)</f>
        <v>6852.31</v>
      </c>
    </row>
    <row r="105" spans="1:27" ht="14.25" x14ac:dyDescent="0.2">
      <c r="A105" s="21"/>
      <c r="B105" s="22"/>
      <c r="C105" s="22" t="s">
        <v>457</v>
      </c>
      <c r="D105" s="24" t="s">
        <v>458</v>
      </c>
      <c r="E105" s="23">
        <f>Source!AQ75</f>
        <v>2.79</v>
      </c>
      <c r="F105" s="26"/>
      <c r="G105" s="25" t="str">
        <f>Source!DI75</f>
        <v>*1,15</v>
      </c>
      <c r="H105" s="23">
        <f>Source!AV75</f>
        <v>1.0669999999999999</v>
      </c>
      <c r="I105" s="27">
        <f>Source!U75</f>
        <v>54.775511999999999</v>
      </c>
      <c r="J105" s="23"/>
      <c r="K105" s="27"/>
    </row>
    <row r="106" spans="1:27" ht="15" x14ac:dyDescent="0.25">
      <c r="A106" s="41"/>
      <c r="B106" s="41"/>
      <c r="C106" s="41"/>
      <c r="D106" s="41"/>
      <c r="E106" s="41"/>
      <c r="F106" s="41"/>
      <c r="G106" s="41"/>
      <c r="H106" s="68">
        <f>I98+I99+I101+I102+I103+I104</f>
        <v>5025.75</v>
      </c>
      <c r="I106" s="68"/>
      <c r="J106" s="68">
        <f>K98+K99+K101+K102+K103+K104</f>
        <v>60882.89</v>
      </c>
      <c r="K106" s="68"/>
      <c r="O106" s="42">
        <f>H106</f>
        <v>5025.75</v>
      </c>
      <c r="P106" s="42">
        <f>J106</f>
        <v>60882.89</v>
      </c>
      <c r="X106" s="37">
        <f>IF(Source!BI75&lt;=1,I98+I99+I101+I102+I103+I104, 0)</f>
        <v>5025.75</v>
      </c>
      <c r="Y106" s="37">
        <f>IF(Source!BI75=2,I98+I99+I101+I102+I103+I104, 0)</f>
        <v>0</v>
      </c>
      <c r="Z106" s="37">
        <f>IF(Source!BI75=3,I98+I99+I101+I102+I103+I104, 0)</f>
        <v>0</v>
      </c>
      <c r="AA106" s="37">
        <f>IF(Source!BI75=4,I98+I99+I101+I102+I103+I104, 0)</f>
        <v>0</v>
      </c>
    </row>
    <row r="107" spans="1:27" ht="57" x14ac:dyDescent="0.2">
      <c r="A107" s="21" t="str">
        <f>Source!E76</f>
        <v>11</v>
      </c>
      <c r="B107" s="22" t="str">
        <f>Source!F76</f>
        <v>16.3-14-1</v>
      </c>
      <c r="C107" s="22" t="str">
        <f>Source!G76</f>
        <v>ГАЗОН В ГОРОДСКИХ УСЛОВИЯХ, С ПОСЕВОМ ТРАВ, С ВНЕСЕНИЕМ РАСТИТЕЛЬНОЙ СМЕСИ СЛОЕМ 20 СМ</v>
      </c>
      <c r="D107" s="24" t="str">
        <f>Source!H76</f>
        <v>м2</v>
      </c>
      <c r="E107" s="23">
        <f>Source!I76</f>
        <v>600</v>
      </c>
      <c r="F107" s="26"/>
      <c r="G107" s="25"/>
      <c r="H107" s="23"/>
      <c r="I107" s="27"/>
      <c r="J107" s="23"/>
      <c r="K107" s="27"/>
      <c r="Q107" s="37">
        <f>ROUND((Source!DN76/100)*ROUND((Source!AF76*Source!AV76)*Source!I76, 2), 2)</f>
        <v>0</v>
      </c>
      <c r="R107" s="37">
        <f>Source!X76</f>
        <v>0</v>
      </c>
      <c r="S107" s="37">
        <f>ROUND((Source!DO76/100)*ROUND((Source!AF76*Source!AV76)*Source!I76, 2), 2)</f>
        <v>0</v>
      </c>
      <c r="T107" s="37">
        <f>Source!Y76</f>
        <v>0</v>
      </c>
      <c r="U107" s="37">
        <f>ROUND((175/100)*ROUND((Source!AE76*Source!AV76)*Source!I76, 2), 2)</f>
        <v>0</v>
      </c>
      <c r="V107" s="37">
        <f>ROUND((167/100)*ROUND(Source!CS76*Source!I76, 2), 2)</f>
        <v>0</v>
      </c>
    </row>
    <row r="108" spans="1:27" x14ac:dyDescent="0.2">
      <c r="C108" s="34" t="str">
        <f>"Объем: "&amp;Source!I76&amp;"="&amp;Source!I72&amp;"*"&amp;"10"</f>
        <v>Объем: 600=60*10</v>
      </c>
    </row>
    <row r="109" spans="1:27" ht="14.25" x14ac:dyDescent="0.2">
      <c r="A109" s="21"/>
      <c r="B109" s="22"/>
      <c r="C109" s="22" t="s">
        <v>443</v>
      </c>
      <c r="D109" s="24"/>
      <c r="E109" s="23"/>
      <c r="F109" s="26"/>
      <c r="G109" s="25"/>
      <c r="H109" s="23"/>
      <c r="I109" s="27">
        <f>I110+I111+I112+I113+SUM(I114:I114)</f>
        <v>90390</v>
      </c>
      <c r="J109" s="23"/>
      <c r="K109" s="27">
        <f>K110+K111+K112+K113+SUM(K114:K114)</f>
        <v>928270.8</v>
      </c>
    </row>
    <row r="110" spans="1:27" ht="14.25" x14ac:dyDescent="0.2">
      <c r="A110" s="21"/>
      <c r="B110" s="22"/>
      <c r="C110" s="22" t="s">
        <v>444</v>
      </c>
      <c r="D110" s="24"/>
      <c r="E110" s="23"/>
      <c r="F110" s="26">
        <f>Source!AO76</f>
        <v>41</v>
      </c>
      <c r="G110" s="25" t="str">
        <f>Source!DG76</f>
        <v>*1,15</v>
      </c>
      <c r="H110" s="23">
        <f>Source!AV76</f>
        <v>1</v>
      </c>
      <c r="I110" s="27">
        <f>ROUND((Source!AF76*Source!AV76)*Source!I76, 2)</f>
        <v>28290</v>
      </c>
      <c r="J110" s="23">
        <f>IF(Source!BA76&lt;&gt; 0, Source!BA76, 1)</f>
        <v>15.42</v>
      </c>
      <c r="K110" s="27">
        <f>Source!S76</f>
        <v>436231.8</v>
      </c>
      <c r="W110" s="37">
        <f>ROUND((Source!AF76*Source!AV76)*Source!I76, 2)</f>
        <v>28290</v>
      </c>
    </row>
    <row r="111" spans="1:27" ht="14.25" x14ac:dyDescent="0.2">
      <c r="A111" s="21"/>
      <c r="B111" s="22"/>
      <c r="C111" s="22" t="s">
        <v>445</v>
      </c>
      <c r="D111" s="24"/>
      <c r="E111" s="23"/>
      <c r="F111" s="26">
        <f>Source!AM76</f>
        <v>30</v>
      </c>
      <c r="G111" s="25" t="str">
        <f>Source!DE76</f>
        <v>*1,15</v>
      </c>
      <c r="H111" s="23">
        <f>Source!AV76</f>
        <v>1</v>
      </c>
      <c r="I111" s="27">
        <f>ROUND((Source!AD76*Source!AV76)*Source!I76, 2)</f>
        <v>20700</v>
      </c>
      <c r="J111" s="23">
        <f>IF(Source!BB76&lt;&gt; 0, Source!BB76, 1)</f>
        <v>7.79</v>
      </c>
      <c r="K111" s="27">
        <f>Source!Q76</f>
        <v>161253</v>
      </c>
    </row>
    <row r="112" spans="1:27" ht="14.25" x14ac:dyDescent="0.2">
      <c r="A112" s="21"/>
      <c r="B112" s="22"/>
      <c r="C112" s="22" t="s">
        <v>446</v>
      </c>
      <c r="D112" s="24"/>
      <c r="E112" s="23"/>
      <c r="F112" s="26">
        <f>Source!AL76</f>
        <v>69</v>
      </c>
      <c r="G112" s="25" t="str">
        <f>Source!DD76</f>
        <v/>
      </c>
      <c r="H112" s="23">
        <f>Source!AW76</f>
        <v>1</v>
      </c>
      <c r="I112" s="27">
        <f>ROUND((Source!AC76*Source!AW76)*Source!I76, 2)</f>
        <v>41400</v>
      </c>
      <c r="J112" s="23">
        <f>IF(Source!BC76&lt;&gt; 0, Source!BC76, 1)</f>
        <v>7.99</v>
      </c>
      <c r="K112" s="27">
        <f>Source!P76</f>
        <v>330786</v>
      </c>
    </row>
    <row r="113" spans="1:27" ht="14.25" x14ac:dyDescent="0.2">
      <c r="A113" s="21"/>
      <c r="B113" s="22"/>
      <c r="C113" s="22" t="s">
        <v>120</v>
      </c>
      <c r="D113" s="24"/>
      <c r="E113" s="23"/>
      <c r="F113" s="26">
        <f>Source!GT76</f>
        <v>0</v>
      </c>
      <c r="G113" s="25"/>
      <c r="H113" s="23"/>
      <c r="I113" s="27">
        <f>Source!GT76*Source!I76</f>
        <v>0</v>
      </c>
      <c r="J113" s="23">
        <f>IF(Source!GU76&lt;&gt; 0, Source!GU76, 1)</f>
        <v>1</v>
      </c>
      <c r="K113" s="27">
        <f>Source!GT76*Source!GU76*Source!I76</f>
        <v>0</v>
      </c>
    </row>
    <row r="114" spans="1:27" ht="14.25" x14ac:dyDescent="0.2">
      <c r="A114" s="21" t="str">
        <f>Source!E77</f>
        <v>11,1</v>
      </c>
      <c r="B114" s="22" t="str">
        <f>Source!F77</f>
        <v>0.0-0-0</v>
      </c>
      <c r="C114" s="22" t="str">
        <f>Source!G77</f>
        <v>ОБЪЕМ ГРУНТА</v>
      </c>
      <c r="D114" s="24" t="str">
        <f>Source!H77</f>
        <v>м3</v>
      </c>
      <c r="E114" s="23">
        <f>Source!I77</f>
        <v>-120</v>
      </c>
      <c r="F114" s="26">
        <f>Source!AK77</f>
        <v>0</v>
      </c>
      <c r="G114" s="28" t="s">
        <v>3</v>
      </c>
      <c r="H114" s="23">
        <f>Source!AW77</f>
        <v>1</v>
      </c>
      <c r="I114" s="27">
        <f>ROUND((Source!AC77*Source!AW77)*Source!I77, 2)+ROUND((Source!AD77*Source!AV77)*Source!I77, 2)+ROUND((Source!AF77*Source!AV77)*Source!I77, 2)</f>
        <v>0</v>
      </c>
      <c r="J114" s="23">
        <f>IF(Source!BC77&lt;&gt; 0, Source!BC77, 1)</f>
        <v>1</v>
      </c>
      <c r="K114" s="27">
        <f>Source!O77</f>
        <v>0</v>
      </c>
      <c r="Q114" s="37">
        <f>ROUND((Source!DN77/100)*ROUND((Source!AF77*Source!AV77)*Source!I77, 2), 2)</f>
        <v>0</v>
      </c>
      <c r="R114" s="37">
        <f>Source!X77</f>
        <v>0</v>
      </c>
      <c r="S114" s="37">
        <f>ROUND((Source!DO77/100)*ROUND((Source!AF77*Source!AV77)*Source!I77, 2), 2)</f>
        <v>0</v>
      </c>
      <c r="T114" s="37">
        <f>Source!Y77</f>
        <v>0</v>
      </c>
      <c r="U114" s="37">
        <f>ROUND((175/100)*ROUND((Source!AE77*Source!AV77)*Source!I77, 2), 2)</f>
        <v>0</v>
      </c>
      <c r="V114" s="37">
        <f>ROUND((167/100)*ROUND(Source!CS77*Source!I77, 2), 2)</f>
        <v>0</v>
      </c>
      <c r="X114" s="37">
        <f>IF(Source!BI77&lt;=1,I114, 0)</f>
        <v>0</v>
      </c>
      <c r="Y114" s="37">
        <f>IF(Source!BI77=2,I114, 0)</f>
        <v>0</v>
      </c>
      <c r="Z114" s="37">
        <f>IF(Source!BI77=3,I114, 0)</f>
        <v>0</v>
      </c>
      <c r="AA114" s="37">
        <f>IF(Source!BI77=4,I114, 0)</f>
        <v>0</v>
      </c>
    </row>
    <row r="115" spans="1:27" ht="14.25" x14ac:dyDescent="0.2">
      <c r="A115" s="29"/>
      <c r="B115" s="30"/>
      <c r="C115" s="30" t="s">
        <v>448</v>
      </c>
      <c r="D115" s="24"/>
      <c r="E115" s="31"/>
      <c r="F115" s="32">
        <f>Source!GV76</f>
        <v>-0.2</v>
      </c>
      <c r="G115" s="24"/>
      <c r="H115" s="31"/>
      <c r="I115" s="33"/>
      <c r="J115" s="31"/>
      <c r="K115" s="33">
        <f>Source!GV76*Source!I76</f>
        <v>-120</v>
      </c>
    </row>
    <row r="116" spans="1:27" ht="14.25" x14ac:dyDescent="0.2">
      <c r="A116" s="29"/>
      <c r="B116" s="30"/>
      <c r="C116" s="30" t="s">
        <v>449</v>
      </c>
      <c r="D116" s="24"/>
      <c r="E116" s="31"/>
      <c r="F116" s="32">
        <f>Source!GW76</f>
        <v>0</v>
      </c>
      <c r="G116" s="24"/>
      <c r="H116" s="31"/>
      <c r="I116" s="33"/>
      <c r="J116" s="31"/>
      <c r="K116" s="33">
        <f>Source!GW76*Source!I76</f>
        <v>0</v>
      </c>
    </row>
    <row r="117" spans="1:27" ht="15" x14ac:dyDescent="0.25">
      <c r="A117" s="41"/>
      <c r="B117" s="41"/>
      <c r="C117" s="41"/>
      <c r="D117" s="41"/>
      <c r="E117" s="41"/>
      <c r="F117" s="41"/>
      <c r="G117" s="41"/>
      <c r="H117" s="68">
        <f>I110+I111+I112+I113+SUM(I114:I114)</f>
        <v>90390</v>
      </c>
      <c r="I117" s="68"/>
      <c r="J117" s="68">
        <f>K110+K111+K112+K113+SUM(K114:K114)</f>
        <v>928270.8</v>
      </c>
      <c r="K117" s="68"/>
      <c r="O117" s="42">
        <f>H117</f>
        <v>90390</v>
      </c>
      <c r="P117" s="42">
        <f>J117</f>
        <v>928270.8</v>
      </c>
      <c r="X117" s="37">
        <f>IF(Source!BI76&lt;=1,I110+I111+I112+I113, 0)</f>
        <v>90390</v>
      </c>
      <c r="Y117" s="37">
        <f>IF(Source!BI76=2,I110+I111+I112+I113, 0)</f>
        <v>0</v>
      </c>
      <c r="Z117" s="37">
        <f>IF(Source!BI76=3,I110+I111+I112+I113, 0)</f>
        <v>0</v>
      </c>
      <c r="AA117" s="37">
        <f>IF(Source!BI76=4,I110+I111+I112+I113, 0)</f>
        <v>0</v>
      </c>
    </row>
    <row r="118" spans="1:27" ht="71.25" x14ac:dyDescent="0.2">
      <c r="A118" s="21" t="str">
        <f>Source!E78</f>
        <v>12</v>
      </c>
      <c r="B118" s="22" t="str">
        <f>Source!F78</f>
        <v>3.1-6-10</v>
      </c>
      <c r="C118" s="22" t="str">
        <f>Source!G78</f>
        <v>РАЗРАБОТКА ГРУНТА С ПОГРУЗКОЙ НА АВТОМОБИЛИ-САМОСВАЛЫ ЭКСКАВАТОРАМИ С КОВШОМ ВМЕСТИМОСТЬЮ 0,5 М3 ГРУППА ГРУНТОВ 1-3</v>
      </c>
      <c r="D118" s="24" t="str">
        <f>Source!H78</f>
        <v>100 м3</v>
      </c>
      <c r="E118" s="23">
        <f>Source!I78</f>
        <v>1.5678399999999999</v>
      </c>
      <c r="F118" s="26"/>
      <c r="G118" s="25"/>
      <c r="H118" s="23"/>
      <c r="I118" s="27"/>
      <c r="J118" s="23"/>
      <c r="K118" s="27"/>
      <c r="Q118" s="37">
        <f>ROUND((Source!DN78/100)*ROUND((Source!AF78*Source!AV78)*Source!I78, 2), 2)</f>
        <v>25.82</v>
      </c>
      <c r="R118" s="37">
        <f>Source!X78</f>
        <v>446.29</v>
      </c>
      <c r="S118" s="37">
        <f>ROUND((Source!DO78/100)*ROUND((Source!AF78*Source!AV78)*Source!I78, 2), 2)</f>
        <v>20.29</v>
      </c>
      <c r="T118" s="37">
        <f>Source!Y78</f>
        <v>248.45</v>
      </c>
      <c r="U118" s="37">
        <f>ROUND((175/100)*ROUND((Source!AE78*Source!AV78)*Source!I78, 2), 2)</f>
        <v>459.45</v>
      </c>
      <c r="V118" s="37">
        <f>ROUND((167/100)*ROUND(Source!CS78*Source!I78, 2), 2)</f>
        <v>7655.15</v>
      </c>
    </row>
    <row r="119" spans="1:27" x14ac:dyDescent="0.2">
      <c r="C119" s="34" t="str">
        <f>"Объем: "&amp;Source!I78&amp;"=(120+"&amp;"36,784)/"&amp;"100"</f>
        <v>Объем: 1,56784=(120+36,784)/100</v>
      </c>
    </row>
    <row r="120" spans="1:27" ht="14.25" x14ac:dyDescent="0.2">
      <c r="A120" s="21"/>
      <c r="B120" s="22"/>
      <c r="C120" s="22" t="s">
        <v>450</v>
      </c>
      <c r="D120" s="24"/>
      <c r="E120" s="23"/>
      <c r="F120" s="26">
        <f>Source!AO78</f>
        <v>14.1</v>
      </c>
      <c r="G120" s="25" t="str">
        <f>Source!DG78</f>
        <v/>
      </c>
      <c r="H120" s="23">
        <f>Source!AV78</f>
        <v>1.1919999999999999</v>
      </c>
      <c r="I120" s="27">
        <f>ROUND((Source!AF78*Source!AV78)*Source!I78, 2)</f>
        <v>26.35</v>
      </c>
      <c r="J120" s="23">
        <f>IF(Source!BA78&lt;&gt; 0, Source!BA78, 1)</f>
        <v>17.46</v>
      </c>
      <c r="K120" s="27">
        <f>Source!S78</f>
        <v>460.09</v>
      </c>
      <c r="W120" s="37">
        <f>ROUND((Source!AF78*Source!AV78)*Source!I78, 2)</f>
        <v>26.35</v>
      </c>
    </row>
    <row r="121" spans="1:27" ht="14.25" x14ac:dyDescent="0.2">
      <c r="A121" s="21"/>
      <c r="B121" s="22"/>
      <c r="C121" s="22" t="s">
        <v>451</v>
      </c>
      <c r="D121" s="24"/>
      <c r="E121" s="23"/>
      <c r="F121" s="26">
        <f>Source!AM78</f>
        <v>757.55</v>
      </c>
      <c r="G121" s="25" t="str">
        <f>Source!DE78</f>
        <v/>
      </c>
      <c r="H121" s="23">
        <f>Source!AV78</f>
        <v>1.1919999999999999</v>
      </c>
      <c r="I121" s="27">
        <f>ROUND((Source!AD78*Source!AV78)*Source!I78, 2)</f>
        <v>1415.76</v>
      </c>
      <c r="J121" s="23">
        <f>IF(Source!BB78&lt;&gt; 0, Source!BB78, 1)</f>
        <v>7.49</v>
      </c>
      <c r="K121" s="27">
        <f>Source!Q78</f>
        <v>10604.03</v>
      </c>
    </row>
    <row r="122" spans="1:27" ht="14.25" x14ac:dyDescent="0.2">
      <c r="A122" s="21"/>
      <c r="B122" s="22"/>
      <c r="C122" s="22" t="s">
        <v>452</v>
      </c>
      <c r="D122" s="24"/>
      <c r="E122" s="23"/>
      <c r="F122" s="26">
        <f>Source!AN78</f>
        <v>140.47999999999999</v>
      </c>
      <c r="G122" s="25" t="str">
        <f>Source!DF78</f>
        <v/>
      </c>
      <c r="H122" s="23">
        <f>Source!AV78</f>
        <v>1.1919999999999999</v>
      </c>
      <c r="I122" s="33">
        <f>ROUND((Source!AE78*Source!AV78)*Source!I78, 2)</f>
        <v>262.54000000000002</v>
      </c>
      <c r="J122" s="23">
        <f>IF(Source!BS78&lt;&gt; 0, Source!BS78, 1)</f>
        <v>17.46</v>
      </c>
      <c r="K122" s="33">
        <f>Source!R78</f>
        <v>4583.92</v>
      </c>
      <c r="W122" s="37">
        <f>ROUND((Source!AE78*Source!AV78)*Source!I78, 2)</f>
        <v>262.54000000000002</v>
      </c>
    </row>
    <row r="123" spans="1:27" ht="14.25" x14ac:dyDescent="0.2">
      <c r="A123" s="21"/>
      <c r="B123" s="22"/>
      <c r="C123" s="22" t="s">
        <v>453</v>
      </c>
      <c r="D123" s="24" t="s">
        <v>454</v>
      </c>
      <c r="E123" s="23">
        <f>Source!DN78</f>
        <v>98</v>
      </c>
      <c r="F123" s="26"/>
      <c r="G123" s="25"/>
      <c r="H123" s="23"/>
      <c r="I123" s="27">
        <f>SUM(Q118:Q122)</f>
        <v>25.82</v>
      </c>
      <c r="J123" s="23">
        <f>Source!BZ78</f>
        <v>97</v>
      </c>
      <c r="K123" s="27">
        <f>SUM(R118:R122)</f>
        <v>446.29</v>
      </c>
    </row>
    <row r="124" spans="1:27" ht="14.25" x14ac:dyDescent="0.2">
      <c r="A124" s="21"/>
      <c r="B124" s="22"/>
      <c r="C124" s="22" t="s">
        <v>455</v>
      </c>
      <c r="D124" s="24" t="s">
        <v>454</v>
      </c>
      <c r="E124" s="23">
        <f>Source!DO78</f>
        <v>77</v>
      </c>
      <c r="F124" s="26"/>
      <c r="G124" s="25"/>
      <c r="H124" s="23"/>
      <c r="I124" s="27">
        <f>SUM(S118:S123)</f>
        <v>20.29</v>
      </c>
      <c r="J124" s="23">
        <f>Source!CA78</f>
        <v>54</v>
      </c>
      <c r="K124" s="27">
        <f>SUM(T118:T123)</f>
        <v>248.45</v>
      </c>
    </row>
    <row r="125" spans="1:27" ht="14.25" x14ac:dyDescent="0.2">
      <c r="A125" s="21"/>
      <c r="B125" s="22"/>
      <c r="C125" s="22" t="s">
        <v>456</v>
      </c>
      <c r="D125" s="24" t="s">
        <v>454</v>
      </c>
      <c r="E125" s="23">
        <f>175</f>
        <v>175</v>
      </c>
      <c r="F125" s="26"/>
      <c r="G125" s="25"/>
      <c r="H125" s="23"/>
      <c r="I125" s="27">
        <f>SUM(U118:U124)</f>
        <v>459.45</v>
      </c>
      <c r="J125" s="23">
        <f>167</f>
        <v>167</v>
      </c>
      <c r="K125" s="27">
        <f>SUM(V118:V124)</f>
        <v>7655.15</v>
      </c>
    </row>
    <row r="126" spans="1:27" ht="14.25" x14ac:dyDescent="0.2">
      <c r="A126" s="21"/>
      <c r="B126" s="22"/>
      <c r="C126" s="22" t="s">
        <v>457</v>
      </c>
      <c r="D126" s="24" t="s">
        <v>458</v>
      </c>
      <c r="E126" s="23">
        <f>Source!AQ78</f>
        <v>1.38</v>
      </c>
      <c r="F126" s="26"/>
      <c r="G126" s="25" t="str">
        <f>Source!DI78</f>
        <v/>
      </c>
      <c r="H126" s="23">
        <f>Source!AV78</f>
        <v>1.1919999999999999</v>
      </c>
      <c r="I126" s="27">
        <f>Source!U78</f>
        <v>2.5790340863999996</v>
      </c>
      <c r="J126" s="23"/>
      <c r="K126" s="27"/>
    </row>
    <row r="127" spans="1:27" ht="15" x14ac:dyDescent="0.25">
      <c r="A127" s="41"/>
      <c r="B127" s="41"/>
      <c r="C127" s="41"/>
      <c r="D127" s="41"/>
      <c r="E127" s="41"/>
      <c r="F127" s="41"/>
      <c r="G127" s="41"/>
      <c r="H127" s="68">
        <f>I120+I121+I123+I124+I125</f>
        <v>1947.6699999999998</v>
      </c>
      <c r="I127" s="68"/>
      <c r="J127" s="68">
        <f>K120+K121+K123+K124+K125</f>
        <v>19414.010000000002</v>
      </c>
      <c r="K127" s="68"/>
      <c r="O127" s="42">
        <f>H127</f>
        <v>1947.6699999999998</v>
      </c>
      <c r="P127" s="42">
        <f>J127</f>
        <v>19414.010000000002</v>
      </c>
      <c r="X127" s="37">
        <f>IF(Source!BI78&lt;=1,I120+I121+I123+I124+I125, 0)</f>
        <v>1947.6699999999998</v>
      </c>
      <c r="Y127" s="37">
        <f>IF(Source!BI78=2,I120+I121+I123+I124+I125, 0)</f>
        <v>0</v>
      </c>
      <c r="Z127" s="37">
        <f>IF(Source!BI78=3,I120+I121+I123+I124+I125, 0)</f>
        <v>0</v>
      </c>
      <c r="AA127" s="37">
        <f>IF(Source!BI78=4,I120+I121+I123+I124+I125, 0)</f>
        <v>0</v>
      </c>
    </row>
    <row r="128" spans="1:27" ht="85.5" x14ac:dyDescent="0.2">
      <c r="A128" s="21" t="str">
        <f>Source!E79</f>
        <v>13</v>
      </c>
      <c r="B128" s="22" t="str">
        <f>Source!F79</f>
        <v>15.1-28-1</v>
      </c>
      <c r="C128" s="22" t="str">
        <f>Source!G79</f>
        <v>ПЕРЕВОЗКА ГРУНТА ИЗ-ПОД ЗДАНИЙ И КОММУНИКАЦИЙ НА РАССТОЯНИЕ 28 КМ АВТОСАМОСВАЛАМИ ГРУЗОПОДЪЕМНОСТЬЮ ДО 16Т, ПЕРЕВОЗКА ДО 28 КМ</v>
      </c>
      <c r="D128" s="24" t="str">
        <f>Source!H79</f>
        <v>м3</v>
      </c>
      <c r="E128" s="23">
        <f>Source!I79</f>
        <v>156.78399999999999</v>
      </c>
      <c r="F128" s="26"/>
      <c r="G128" s="25"/>
      <c r="H128" s="23"/>
      <c r="I128" s="27"/>
      <c r="J128" s="23"/>
      <c r="K128" s="27"/>
      <c r="Q128" s="37">
        <f>ROUND((Source!DN79/100)*ROUND((Source!AF79*Source!AV79)*Source!I79, 2), 2)</f>
        <v>0</v>
      </c>
      <c r="R128" s="37">
        <f>Source!X79</f>
        <v>0</v>
      </c>
      <c r="S128" s="37">
        <f>ROUND((Source!DO79/100)*ROUND((Source!AF79*Source!AV79)*Source!I79, 2), 2)</f>
        <v>0</v>
      </c>
      <c r="T128" s="37">
        <f>Source!Y79</f>
        <v>0</v>
      </c>
      <c r="U128" s="37">
        <f>ROUND((175/100)*ROUND((Source!AE79*Source!AV79)*Source!I79, 2), 2)</f>
        <v>0</v>
      </c>
      <c r="V128" s="37">
        <f>ROUND((167/100)*ROUND(Source!CS79*Source!I79, 2), 2)</f>
        <v>0</v>
      </c>
    </row>
    <row r="129" spans="1:32" x14ac:dyDescent="0.2">
      <c r="C129" s="34" t="str">
        <f>"Объем: "&amp;Source!I79&amp;"="&amp;Source!I78&amp;"*"&amp;"100"</f>
        <v>Объем: 156,784=1,56784*100</v>
      </c>
    </row>
    <row r="130" spans="1:32" ht="14.25" x14ac:dyDescent="0.2">
      <c r="A130" s="21"/>
      <c r="B130" s="22"/>
      <c r="C130" s="22" t="s">
        <v>451</v>
      </c>
      <c r="D130" s="24"/>
      <c r="E130" s="23"/>
      <c r="F130" s="26">
        <f>Source!AM79</f>
        <v>71.319999999999993</v>
      </c>
      <c r="G130" s="25" t="str">
        <f>Source!DE79</f>
        <v/>
      </c>
      <c r="H130" s="23">
        <f>Source!AV79</f>
        <v>1</v>
      </c>
      <c r="I130" s="27">
        <f>ROUND((Source!AD79*Source!AV79)*Source!I79, 2)</f>
        <v>11181.83</v>
      </c>
      <c r="J130" s="23">
        <f>IF(Source!BB79&lt;&gt; 0, Source!BB79, 1)</f>
        <v>8.7799999999999994</v>
      </c>
      <c r="K130" s="27">
        <f>Source!Q79</f>
        <v>98176.51</v>
      </c>
    </row>
    <row r="131" spans="1:32" ht="15" x14ac:dyDescent="0.25">
      <c r="A131" s="41"/>
      <c r="B131" s="41"/>
      <c r="C131" s="41"/>
      <c r="D131" s="41"/>
      <c r="E131" s="41"/>
      <c r="F131" s="41"/>
      <c r="G131" s="41"/>
      <c r="H131" s="68">
        <f>I130</f>
        <v>11181.83</v>
      </c>
      <c r="I131" s="68"/>
      <c r="J131" s="68">
        <f>K130</f>
        <v>98176.51</v>
      </c>
      <c r="K131" s="68"/>
      <c r="O131" s="42">
        <f>H131</f>
        <v>11181.83</v>
      </c>
      <c r="P131" s="42">
        <f>J131</f>
        <v>98176.51</v>
      </c>
      <c r="X131" s="37">
        <f>IF(Source!BI79&lt;=1,I130, 0)</f>
        <v>0</v>
      </c>
      <c r="Y131" s="37">
        <f>IF(Source!BI79=2,I130, 0)</f>
        <v>0</v>
      </c>
      <c r="Z131" s="37">
        <f>IF(Source!BI79=3,I130, 0)</f>
        <v>0</v>
      </c>
      <c r="AA131" s="37">
        <f>IF(Source!BI79=4,I130, 0)</f>
        <v>11181.83</v>
      </c>
    </row>
    <row r="132" spans="1:32" ht="99.75" x14ac:dyDescent="0.2">
      <c r="A132" s="21" t="str">
        <f>Source!E80</f>
        <v>14</v>
      </c>
      <c r="B132" s="22" t="str">
        <f>Source!F80</f>
        <v>15.1-0-9</v>
      </c>
      <c r="C132" s="22" t="str">
        <f>Source!G80</f>
        <v>РАЗМЕЩЕНИЕ ГРУНТОВ, ПОЛУЧЕННЫХ В РЕЗУЛЬТАТЕ ПРОИЗВОДСТВА ЗЕМЛЯНЫХ РАБОТ, НЕ ИСПОЛЬЗУЕМЫХ ДЛЯ ОБРАТНОЙ ЗАСЫПКИ: ГРУНТЫ НЕЗАМУСОРЕННЫЕ ЭКОЛОГИЧЕСКИ ЧИСТЫЕ</v>
      </c>
      <c r="D132" s="24" t="str">
        <f>Source!H80</f>
        <v>т</v>
      </c>
      <c r="E132" s="23">
        <f>Source!I80</f>
        <v>235.17599999999999</v>
      </c>
      <c r="F132" s="26"/>
      <c r="G132" s="25"/>
      <c r="H132" s="23"/>
      <c r="I132" s="27"/>
      <c r="J132" s="23"/>
      <c r="K132" s="27"/>
      <c r="Q132" s="37">
        <f>ROUND((Source!DN80/100)*ROUND((Source!AF80*Source!AV80)*Source!I80, 2), 2)</f>
        <v>0</v>
      </c>
      <c r="R132" s="37">
        <f>Source!X80</f>
        <v>0</v>
      </c>
      <c r="S132" s="37">
        <f>ROUND((Source!DO80/100)*ROUND((Source!AF80*Source!AV80)*Source!I80, 2), 2)</f>
        <v>0</v>
      </c>
      <c r="T132" s="37">
        <f>Source!Y80</f>
        <v>0</v>
      </c>
      <c r="U132" s="37">
        <f>ROUND((175/100)*ROUND((Source!AE80*Source!AV80)*Source!I80, 2), 2)</f>
        <v>0</v>
      </c>
      <c r="V132" s="37">
        <f>ROUND((167/100)*ROUND(Source!CS80*Source!I80, 2), 2)</f>
        <v>0</v>
      </c>
    </row>
    <row r="133" spans="1:32" x14ac:dyDescent="0.2">
      <c r="C133" s="34" t="str">
        <f>"Объем: "&amp;Source!I80&amp;"="&amp;Source!I79&amp;"*"&amp;"1,5"</f>
        <v>Объем: 235,176=156,784*1,5</v>
      </c>
    </row>
    <row r="134" spans="1:32" ht="14.25" x14ac:dyDescent="0.2">
      <c r="A134" s="21"/>
      <c r="B134" s="22"/>
      <c r="C134" s="22" t="s">
        <v>451</v>
      </c>
      <c r="D134" s="24"/>
      <c r="E134" s="23"/>
      <c r="F134" s="26">
        <f>Source!AM80</f>
        <v>43.28</v>
      </c>
      <c r="G134" s="25" t="str">
        <f>Source!DE80</f>
        <v/>
      </c>
      <c r="H134" s="23">
        <f>Source!AV80</f>
        <v>1</v>
      </c>
      <c r="I134" s="27">
        <f>ROUND((Source!AD80*Source!AV80)*Source!I80, 2)</f>
        <v>10178.42</v>
      </c>
      <c r="J134" s="23">
        <f>IF(Source!BB80&lt;&gt; 0, Source!BB80, 1)</f>
        <v>2.09</v>
      </c>
      <c r="K134" s="27">
        <f>Source!Q80</f>
        <v>21272.89</v>
      </c>
    </row>
    <row r="135" spans="1:32" ht="15" x14ac:dyDescent="0.25">
      <c r="A135" s="41"/>
      <c r="B135" s="41"/>
      <c r="C135" s="41"/>
      <c r="D135" s="41"/>
      <c r="E135" s="41"/>
      <c r="F135" s="41"/>
      <c r="G135" s="41"/>
      <c r="H135" s="68">
        <f>I134</f>
        <v>10178.42</v>
      </c>
      <c r="I135" s="68"/>
      <c r="J135" s="68">
        <f>K134</f>
        <v>21272.89</v>
      </c>
      <c r="K135" s="68"/>
      <c r="O135" s="42">
        <f>H135</f>
        <v>10178.42</v>
      </c>
      <c r="P135" s="42">
        <f>J135</f>
        <v>21272.89</v>
      </c>
      <c r="X135" s="37">
        <f>IF(Source!BI80&lt;=1,I134, 0)</f>
        <v>0</v>
      </c>
      <c r="Y135" s="37">
        <f>IF(Source!BI80=2,I134, 0)</f>
        <v>0</v>
      </c>
      <c r="Z135" s="37">
        <f>IF(Source!BI80=3,I134, 0)</f>
        <v>0</v>
      </c>
      <c r="AA135" s="37">
        <f>IF(Source!BI80=4,I134, 0)</f>
        <v>10178.42</v>
      </c>
    </row>
    <row r="136" spans="1:32" ht="71.25" x14ac:dyDescent="0.2">
      <c r="A136" s="21" t="str">
        <f>Source!E81</f>
        <v>15</v>
      </c>
      <c r="B136" s="22" t="str">
        <f>Source!F81</f>
        <v>15.1-28-5</v>
      </c>
      <c r="C136" s="22" t="str">
        <f>Source!G81</f>
        <v>ПЕРЕВОЗКА СТРОИТЕЛЬНОГО МУСОРА НА РАССТОЯНИЕ 28 КМ АВТОСАМОСВАЛАМИ ГРУЗОПОДЪЕМНОСТЬЮ ДО 16 Т, ПЕРЕВОЗКА ДО 28 КМ</v>
      </c>
      <c r="D136" s="24" t="str">
        <f>Source!H81</f>
        <v>т</v>
      </c>
      <c r="E136" s="23">
        <f>Source!I81</f>
        <v>6.0000000000000001E-3</v>
      </c>
      <c r="F136" s="26"/>
      <c r="G136" s="25"/>
      <c r="H136" s="23"/>
      <c r="I136" s="27"/>
      <c r="J136" s="23"/>
      <c r="K136" s="27"/>
      <c r="Q136" s="37">
        <f>ROUND((Source!DN81/100)*ROUND((Source!AF81*Source!AV81)*Source!I81, 2), 2)</f>
        <v>0</v>
      </c>
      <c r="R136" s="37">
        <f>Source!X81</f>
        <v>0</v>
      </c>
      <c r="S136" s="37">
        <f>ROUND((Source!DO81/100)*ROUND((Source!AF81*Source!AV81)*Source!I81, 2), 2)</f>
        <v>0</v>
      </c>
      <c r="T136" s="37">
        <f>Source!Y81</f>
        <v>0</v>
      </c>
      <c r="U136" s="37">
        <f>ROUND((175/100)*ROUND((Source!AE81*Source!AV81)*Source!I81, 2), 2)</f>
        <v>0</v>
      </c>
      <c r="V136" s="37">
        <f>ROUND((167/100)*ROUND(Source!CS81*Source!I81, 2), 2)</f>
        <v>0</v>
      </c>
    </row>
    <row r="137" spans="1:32" ht="14.25" x14ac:dyDescent="0.2">
      <c r="A137" s="21"/>
      <c r="B137" s="22"/>
      <c r="C137" s="22" t="s">
        <v>451</v>
      </c>
      <c r="D137" s="24"/>
      <c r="E137" s="23"/>
      <c r="F137" s="26">
        <f>Source!AM81</f>
        <v>58.32</v>
      </c>
      <c r="G137" s="25" t="str">
        <f>Source!DE81</f>
        <v/>
      </c>
      <c r="H137" s="23">
        <f>Source!AV81</f>
        <v>1</v>
      </c>
      <c r="I137" s="27">
        <f>ROUND((Source!AD81*Source!AV81)*Source!I81, 2)</f>
        <v>0.35</v>
      </c>
      <c r="J137" s="23">
        <f>IF(Source!BB81&lt;&gt; 0, Source!BB81, 1)</f>
        <v>7.62</v>
      </c>
      <c r="K137" s="27">
        <f>Source!Q81</f>
        <v>2.67</v>
      </c>
    </row>
    <row r="138" spans="1:32" ht="15" x14ac:dyDescent="0.25">
      <c r="A138" s="41"/>
      <c r="B138" s="41"/>
      <c r="C138" s="41"/>
      <c r="D138" s="41"/>
      <c r="E138" s="41"/>
      <c r="F138" s="41"/>
      <c r="G138" s="41"/>
      <c r="H138" s="68">
        <f>I137</f>
        <v>0.35</v>
      </c>
      <c r="I138" s="68"/>
      <c r="J138" s="68">
        <f>K137</f>
        <v>2.67</v>
      </c>
      <c r="K138" s="68"/>
      <c r="O138" s="42">
        <f>H138</f>
        <v>0.35</v>
      </c>
      <c r="P138" s="42">
        <f>J138</f>
        <v>2.67</v>
      </c>
      <c r="X138" s="37">
        <f>IF(Source!BI81&lt;=1,I137, 0)</f>
        <v>0</v>
      </c>
      <c r="Y138" s="37">
        <f>IF(Source!BI81=2,I137, 0)</f>
        <v>0</v>
      </c>
      <c r="Z138" s="37">
        <f>IF(Source!BI81=3,I137, 0)</f>
        <v>0</v>
      </c>
      <c r="AA138" s="37">
        <f>IF(Source!BI81=4,I137, 0)</f>
        <v>0.35</v>
      </c>
    </row>
    <row r="139" spans="1:32" ht="28.5" x14ac:dyDescent="0.2">
      <c r="A139" s="21" t="str">
        <f>Source!E82</f>
        <v>16</v>
      </c>
      <c r="B139" s="22" t="str">
        <f>Source!F82</f>
        <v>15.1-0-1</v>
      </c>
      <c r="C139" s="22" t="str">
        <f>Source!G82</f>
        <v>СОДЕРЖАНИЕ СВАЛКИ ОТХОДОВ СТРОИТЕЛЬСТВА И СНОСА</v>
      </c>
      <c r="D139" s="24" t="str">
        <f>Source!H82</f>
        <v>т</v>
      </c>
      <c r="E139" s="23">
        <f>Source!I82</f>
        <v>6.0000000000000001E-3</v>
      </c>
      <c r="F139" s="26"/>
      <c r="G139" s="25"/>
      <c r="H139" s="23"/>
      <c r="I139" s="27"/>
      <c r="J139" s="23"/>
      <c r="K139" s="27"/>
      <c r="Q139" s="37">
        <f>ROUND((Source!DN82/100)*ROUND((Source!AF82*Source!AV82)*Source!I82, 2), 2)</f>
        <v>0</v>
      </c>
      <c r="R139" s="37">
        <f>Source!X82</f>
        <v>0</v>
      </c>
      <c r="S139" s="37">
        <f>ROUND((Source!DO82/100)*ROUND((Source!AF82*Source!AV82)*Source!I82, 2), 2)</f>
        <v>0</v>
      </c>
      <c r="T139" s="37">
        <f>Source!Y82</f>
        <v>0</v>
      </c>
      <c r="U139" s="37">
        <f>ROUND((175/100)*ROUND((Source!AE82*Source!AV82)*Source!I82, 2), 2)</f>
        <v>0</v>
      </c>
      <c r="V139" s="37">
        <f>ROUND((167/100)*ROUND(Source!CS82*Source!I82, 2), 2)</f>
        <v>0</v>
      </c>
    </row>
    <row r="140" spans="1:32" ht="14.25" x14ac:dyDescent="0.2">
      <c r="A140" s="21"/>
      <c r="B140" s="22"/>
      <c r="C140" s="22" t="s">
        <v>451</v>
      </c>
      <c r="D140" s="24"/>
      <c r="E140" s="23"/>
      <c r="F140" s="26">
        <f>Source!AM82</f>
        <v>101</v>
      </c>
      <c r="G140" s="25" t="str">
        <f>Source!DE82</f>
        <v/>
      </c>
      <c r="H140" s="23">
        <f>Source!AV82</f>
        <v>1</v>
      </c>
      <c r="I140" s="27">
        <f>ROUND((Source!AD82*Source!AV82)*Source!I82, 2)</f>
        <v>0.61</v>
      </c>
      <c r="J140" s="23">
        <f>IF(Source!BB82&lt;&gt; 0, Source!BB82, 1)</f>
        <v>2.0099999999999998</v>
      </c>
      <c r="K140" s="27">
        <f>Source!Q82</f>
        <v>1.22</v>
      </c>
    </row>
    <row r="141" spans="1:32" ht="15" x14ac:dyDescent="0.25">
      <c r="A141" s="41"/>
      <c r="B141" s="41"/>
      <c r="C141" s="41"/>
      <c r="D141" s="41"/>
      <c r="E141" s="41"/>
      <c r="F141" s="41"/>
      <c r="G141" s="41"/>
      <c r="H141" s="68">
        <f>I140</f>
        <v>0.61</v>
      </c>
      <c r="I141" s="68"/>
      <c r="J141" s="68">
        <f>K140</f>
        <v>1.22</v>
      </c>
      <c r="K141" s="68"/>
      <c r="O141" s="42">
        <f>H141</f>
        <v>0.61</v>
      </c>
      <c r="P141" s="42">
        <f>J141</f>
        <v>1.22</v>
      </c>
      <c r="X141" s="37">
        <f>IF(Source!BI82&lt;=1,I140, 0)</f>
        <v>0</v>
      </c>
      <c r="Y141" s="37">
        <f>IF(Source!BI82=2,I140, 0)</f>
        <v>0</v>
      </c>
      <c r="Z141" s="37">
        <f>IF(Source!BI82=3,I140, 0)</f>
        <v>0</v>
      </c>
      <c r="AA141" s="37">
        <f>IF(Source!BI82=4,I140, 0)</f>
        <v>0.61</v>
      </c>
    </row>
    <row r="143" spans="1:32" ht="15" x14ac:dyDescent="0.25">
      <c r="A143" s="58" t="str">
        <f>CONCATENATE("Итого по разделу: ",IF(Source!G84&lt;&gt;"Новый раздел", Source!G84, ""))</f>
        <v>Итого по разделу: Тепловая сеть 2Ду80 ППУ-ПЭ бесканально - 60 п.м</v>
      </c>
      <c r="B143" s="58"/>
      <c r="C143" s="58"/>
      <c r="D143" s="58"/>
      <c r="E143" s="58"/>
      <c r="F143" s="58"/>
      <c r="G143" s="58"/>
      <c r="H143" s="59">
        <f>SUM(O85:O142)</f>
        <v>343332.49999999994</v>
      </c>
      <c r="I143" s="57"/>
      <c r="J143" s="59">
        <f>SUM(P85:P142)</f>
        <v>2270463</v>
      </c>
      <c r="K143" s="57"/>
      <c r="AF143" s="35" t="str">
        <f>CONCATENATE("Итого по разделу: ",IF(Source!G84&lt;&gt;"Новый раздел", Source!G84, ""))</f>
        <v>Итого по разделу: Тепловая сеть 2Ду80 ППУ-ПЭ бесканально - 60 п.м</v>
      </c>
    </row>
    <row r="146" spans="1:31" ht="16.5" x14ac:dyDescent="0.25">
      <c r="A146" s="67" t="str">
        <f>CONCATENATE("Раздел: ",IF(Source!G110&lt;&gt;"Новый раздел", Source!G110, ""))</f>
        <v>Раздел: Тепловая камера (реконструкция) 5,2х4,6х2,5</v>
      </c>
      <c r="B146" s="67"/>
      <c r="C146" s="67"/>
      <c r="D146" s="67"/>
      <c r="E146" s="67"/>
      <c r="F146" s="67"/>
      <c r="G146" s="67"/>
      <c r="H146" s="67"/>
      <c r="I146" s="67"/>
      <c r="J146" s="67"/>
      <c r="K146" s="67"/>
      <c r="AE146" s="20" t="str">
        <f>CONCATENATE("Раздел: ",IF(Source!G110&lt;&gt;"Новый раздел", Source!G110, ""))</f>
        <v>Раздел: Тепловая камера (реконструкция) 5,2х4,6х2,5</v>
      </c>
    </row>
    <row r="147" spans="1:31" ht="42.75" x14ac:dyDescent="0.2">
      <c r="A147" s="21" t="str">
        <f>Source!E114</f>
        <v>17</v>
      </c>
      <c r="B147" s="22" t="str">
        <f>Source!F114</f>
        <v>3.7-46-1</v>
      </c>
      <c r="C147" s="22" t="str">
        <f>Source!G114</f>
        <v>Демонтаж.  УСТРОЙСТВО КАМЕР СО СТЕНКАМИ ИЗ БЕТОННЫХ БЛОКОВ 9,0374м3*2,5т/м3=22,594т</v>
      </c>
      <c r="D147" s="24" t="str">
        <f>Source!H114</f>
        <v>100 м3</v>
      </c>
      <c r="E147" s="23">
        <f>Source!I114</f>
        <v>9.0374399999999994E-2</v>
      </c>
      <c r="F147" s="26"/>
      <c r="G147" s="25"/>
      <c r="H147" s="23"/>
      <c r="I147" s="27"/>
      <c r="J147" s="23"/>
      <c r="K147" s="27"/>
      <c r="Q147" s="37">
        <f>ROUND((Source!DN114/100)*ROUND((Source!AF114*Source!AV114)*Source!I114, 2), 2)</f>
        <v>1429.65</v>
      </c>
      <c r="R147" s="37">
        <f>Source!X114</f>
        <v>20565.98</v>
      </c>
      <c r="S147" s="37">
        <f>ROUND((Source!DO114/100)*ROUND((Source!AF114*Source!AV114)*Source!I114, 2), 2)</f>
        <v>1069.99</v>
      </c>
      <c r="T147" s="37">
        <f>Source!Y114</f>
        <v>9419.5300000000007</v>
      </c>
      <c r="U147" s="37">
        <f>ROUND((175/100)*ROUND((Source!AE114*Source!AV114)*Source!I114, 2), 2)</f>
        <v>16.559999999999999</v>
      </c>
      <c r="V147" s="37">
        <f>ROUND((167/100)*ROUND(Source!CS114*Source!I114, 2), 2)</f>
        <v>275.77999999999997</v>
      </c>
    </row>
    <row r="148" spans="1:31" ht="38.25" x14ac:dyDescent="0.2">
      <c r="C148" s="34" t="str">
        <f>"Объем: "&amp;Source!I114&amp;"=((5,2+"&amp;"4,6)*"&amp;"2*"&amp;"2,5*"&amp;"0,4+"&amp;"5,2*"&amp;"4,6*"&amp;"0,22*"&amp;"2)*"&amp;"0,3/"&amp;"100"</f>
        <v>Объем: 0,0903744=((5,2+4,6)*2*2,5*0,4+5,2*4,6*0,22*2)*0,3/100</v>
      </c>
    </row>
    <row r="149" spans="1:31" ht="14.25" x14ac:dyDescent="0.2">
      <c r="A149" s="21"/>
      <c r="B149" s="22"/>
      <c r="C149" s="22" t="s">
        <v>450</v>
      </c>
      <c r="D149" s="24"/>
      <c r="E149" s="23"/>
      <c r="F149" s="26">
        <f>Source!AO114</f>
        <v>9948.81</v>
      </c>
      <c r="G149" s="25" t="str">
        <f>Source!DG114</f>
        <v>*1,15*0,8</v>
      </c>
      <c r="H149" s="23">
        <f>Source!AV114</f>
        <v>1.087</v>
      </c>
      <c r="I149" s="27">
        <f>ROUND((Source!AF114*Source!AV114)*Source!I114, 2)</f>
        <v>899.15</v>
      </c>
      <c r="J149" s="23">
        <f>IF(Source!BA114&lt;&gt; 0, Source!BA114, 1)</f>
        <v>17.46</v>
      </c>
      <c r="K149" s="27">
        <f>Source!S114</f>
        <v>15699.22</v>
      </c>
      <c r="W149" s="37">
        <f>ROUND((Source!AF114*Source!AV114)*Source!I114, 2)</f>
        <v>899.15</v>
      </c>
    </row>
    <row r="150" spans="1:31" ht="14.25" x14ac:dyDescent="0.2">
      <c r="A150" s="21"/>
      <c r="B150" s="22"/>
      <c r="C150" s="22" t="s">
        <v>451</v>
      </c>
      <c r="D150" s="24"/>
      <c r="E150" s="23"/>
      <c r="F150" s="26">
        <f>Source!AM114</f>
        <v>616.74</v>
      </c>
      <c r="G150" s="25" t="str">
        <f>Source!DE114</f>
        <v>*1,15*0,8</v>
      </c>
      <c r="H150" s="23">
        <f>Source!AV114</f>
        <v>1.087</v>
      </c>
      <c r="I150" s="27">
        <f>ROUND((Source!AD114*Source!AV114)*Source!I114, 2)</f>
        <v>55.74</v>
      </c>
      <c r="J150" s="23">
        <f>IF(Source!BB114&lt;&gt; 0, Source!BB114, 1)</f>
        <v>8.02</v>
      </c>
      <c r="K150" s="27">
        <f>Source!Q114</f>
        <v>447.03</v>
      </c>
    </row>
    <row r="151" spans="1:31" ht="14.25" x14ac:dyDescent="0.2">
      <c r="A151" s="21"/>
      <c r="B151" s="22"/>
      <c r="C151" s="22" t="s">
        <v>452</v>
      </c>
      <c r="D151" s="24"/>
      <c r="E151" s="23"/>
      <c r="F151" s="26">
        <f>Source!AN114</f>
        <v>104.65</v>
      </c>
      <c r="G151" s="25" t="str">
        <f>Source!DF114</f>
        <v>*1,15*0,8</v>
      </c>
      <c r="H151" s="23">
        <f>Source!AV114</f>
        <v>1.087</v>
      </c>
      <c r="I151" s="33">
        <f>ROUND((Source!AE114*Source!AV114)*Source!I114, 2)</f>
        <v>9.4600000000000009</v>
      </c>
      <c r="J151" s="23">
        <f>IF(Source!BS114&lt;&gt; 0, Source!BS114, 1)</f>
        <v>17.46</v>
      </c>
      <c r="K151" s="33">
        <f>Source!R114</f>
        <v>165.14</v>
      </c>
      <c r="W151" s="37">
        <f>ROUND((Source!AE114*Source!AV114)*Source!I114, 2)</f>
        <v>9.4600000000000009</v>
      </c>
    </row>
    <row r="152" spans="1:31" ht="14.25" x14ac:dyDescent="0.2">
      <c r="A152" s="21"/>
      <c r="B152" s="22"/>
      <c r="C152" s="22" t="s">
        <v>453</v>
      </c>
      <c r="D152" s="24" t="s">
        <v>454</v>
      </c>
      <c r="E152" s="23">
        <f>Source!DN114</f>
        <v>159</v>
      </c>
      <c r="F152" s="26"/>
      <c r="G152" s="25"/>
      <c r="H152" s="23"/>
      <c r="I152" s="27">
        <f>SUM(Q147:Q151)</f>
        <v>1429.65</v>
      </c>
      <c r="J152" s="23">
        <f>Source!BZ114</f>
        <v>131</v>
      </c>
      <c r="K152" s="27">
        <f>SUM(R147:R151)</f>
        <v>20565.98</v>
      </c>
    </row>
    <row r="153" spans="1:31" ht="14.25" x14ac:dyDescent="0.2">
      <c r="A153" s="21"/>
      <c r="B153" s="22"/>
      <c r="C153" s="22" t="s">
        <v>455</v>
      </c>
      <c r="D153" s="24" t="s">
        <v>454</v>
      </c>
      <c r="E153" s="23">
        <f>Source!DO114</f>
        <v>119</v>
      </c>
      <c r="F153" s="26"/>
      <c r="G153" s="25"/>
      <c r="H153" s="23"/>
      <c r="I153" s="27">
        <f>SUM(S147:S152)</f>
        <v>1069.99</v>
      </c>
      <c r="J153" s="23">
        <f>Source!CA114</f>
        <v>60</v>
      </c>
      <c r="K153" s="27">
        <f>SUM(T147:T152)</f>
        <v>9419.5300000000007</v>
      </c>
    </row>
    <row r="154" spans="1:31" ht="14.25" x14ac:dyDescent="0.2">
      <c r="A154" s="21"/>
      <c r="B154" s="22"/>
      <c r="C154" s="22" t="s">
        <v>456</v>
      </c>
      <c r="D154" s="24" t="s">
        <v>454</v>
      </c>
      <c r="E154" s="23">
        <f>175</f>
        <v>175</v>
      </c>
      <c r="F154" s="26"/>
      <c r="G154" s="25"/>
      <c r="H154" s="23"/>
      <c r="I154" s="27">
        <f>SUM(U147:U153)</f>
        <v>16.559999999999999</v>
      </c>
      <c r="J154" s="23">
        <f>167</f>
        <v>167</v>
      </c>
      <c r="K154" s="27">
        <f>SUM(V147:V153)</f>
        <v>275.77999999999997</v>
      </c>
    </row>
    <row r="155" spans="1:31" ht="14.25" x14ac:dyDescent="0.2">
      <c r="A155" s="21"/>
      <c r="B155" s="22"/>
      <c r="C155" s="22" t="s">
        <v>457</v>
      </c>
      <c r="D155" s="24" t="s">
        <v>458</v>
      </c>
      <c r="E155" s="23">
        <f>Source!AQ114</f>
        <v>827</v>
      </c>
      <c r="F155" s="26"/>
      <c r="G155" s="25" t="str">
        <f>Source!DI114</f>
        <v>*1,15*0,8</v>
      </c>
      <c r="H155" s="23">
        <f>Source!AV114</f>
        <v>1.087</v>
      </c>
      <c r="I155" s="27">
        <f>Source!U114</f>
        <v>74.742618385151999</v>
      </c>
      <c r="J155" s="23"/>
      <c r="K155" s="27"/>
    </row>
    <row r="156" spans="1:31" ht="15" x14ac:dyDescent="0.25">
      <c r="A156" s="41"/>
      <c r="B156" s="41"/>
      <c r="C156" s="41"/>
      <c r="D156" s="41"/>
      <c r="E156" s="41"/>
      <c r="F156" s="41"/>
      <c r="G156" s="41"/>
      <c r="H156" s="68">
        <f>I149+I150+I152+I153+I154</f>
        <v>3471.0899999999997</v>
      </c>
      <c r="I156" s="68"/>
      <c r="J156" s="68">
        <f>K149+K150+K152+K153+K154</f>
        <v>46407.539999999994</v>
      </c>
      <c r="K156" s="68"/>
      <c r="O156" s="42">
        <f>H156</f>
        <v>3471.0899999999997</v>
      </c>
      <c r="P156" s="42">
        <f>J156</f>
        <v>46407.539999999994</v>
      </c>
      <c r="X156" s="37">
        <f>IF(Source!BI114&lt;=1,I149+I150+I152+I153+I154, 0)</f>
        <v>3471.0899999999997</v>
      </c>
      <c r="Y156" s="37">
        <f>IF(Source!BI114=2,I149+I150+I152+I153+I154, 0)</f>
        <v>0</v>
      </c>
      <c r="Z156" s="37">
        <f>IF(Source!BI114=3,I149+I150+I152+I153+I154, 0)</f>
        <v>0</v>
      </c>
      <c r="AA156" s="37">
        <f>IF(Source!BI114=4,I149+I150+I152+I153+I154, 0)</f>
        <v>0</v>
      </c>
    </row>
    <row r="157" spans="1:31" ht="42.75" x14ac:dyDescent="0.2">
      <c r="A157" s="21" t="str">
        <f>Source!E115</f>
        <v>18</v>
      </c>
      <c r="B157" s="22" t="str">
        <f>Source!F115</f>
        <v>6.68-13-1</v>
      </c>
      <c r="C157" s="22" t="str">
        <f>Source!G115</f>
        <v>МЕХАНИЗИРОВАННАЯ ПОГРУЗКА СТРОИТЕЛЬНОГО МУСОРА В АВТОМОБИЛИ-САМОСВАЛЫ</v>
      </c>
      <c r="D157" s="24" t="str">
        <f>Source!H115</f>
        <v>т</v>
      </c>
      <c r="E157" s="23">
        <f>Source!I115</f>
        <v>22.594000000000001</v>
      </c>
      <c r="F157" s="26"/>
      <c r="G157" s="25"/>
      <c r="H157" s="23"/>
      <c r="I157" s="27"/>
      <c r="J157" s="23"/>
      <c r="K157" s="27"/>
      <c r="Q157" s="37">
        <f>ROUND((Source!DN115/100)*ROUND((Source!AF115*Source!AV115)*Source!I115, 2), 2)</f>
        <v>0</v>
      </c>
      <c r="R157" s="37">
        <f>Source!X115</f>
        <v>0</v>
      </c>
      <c r="S157" s="37">
        <f>ROUND((Source!DO115/100)*ROUND((Source!AF115*Source!AV115)*Source!I115, 2), 2)</f>
        <v>0</v>
      </c>
      <c r="T157" s="37">
        <f>Source!Y115</f>
        <v>0</v>
      </c>
      <c r="U157" s="37">
        <f>ROUND((175/100)*ROUND((Source!AE115*Source!AV115)*Source!I115, 2), 2)</f>
        <v>67.39</v>
      </c>
      <c r="V157" s="37">
        <f>ROUND((167/100)*ROUND(Source!CS115*Source!I115, 2), 2)</f>
        <v>1122.94</v>
      </c>
    </row>
    <row r="158" spans="1:31" ht="14.25" x14ac:dyDescent="0.2">
      <c r="A158" s="21"/>
      <c r="B158" s="22"/>
      <c r="C158" s="22" t="s">
        <v>451</v>
      </c>
      <c r="D158" s="24"/>
      <c r="E158" s="23"/>
      <c r="F158" s="26">
        <f>Source!AM115</f>
        <v>8.86</v>
      </c>
      <c r="G158" s="25" t="str">
        <f>Source!DE115</f>
        <v>*1,1</v>
      </c>
      <c r="H158" s="23">
        <f>Source!AV115</f>
        <v>1.0469999999999999</v>
      </c>
      <c r="I158" s="27">
        <f>ROUND((Source!AD115*Source!AV115)*Source!I115, 2)</f>
        <v>230.55</v>
      </c>
      <c r="J158" s="23">
        <f>IF(Source!BB115&lt;&gt; 0, Source!BB115, 1)</f>
        <v>7.92</v>
      </c>
      <c r="K158" s="27">
        <f>Source!Q115</f>
        <v>1825.96</v>
      </c>
    </row>
    <row r="159" spans="1:31" ht="14.25" x14ac:dyDescent="0.2">
      <c r="A159" s="21"/>
      <c r="B159" s="22"/>
      <c r="C159" s="22" t="s">
        <v>452</v>
      </c>
      <c r="D159" s="24"/>
      <c r="E159" s="23"/>
      <c r="F159" s="26">
        <f>Source!AN115</f>
        <v>1.48</v>
      </c>
      <c r="G159" s="25" t="str">
        <f>Source!DF115</f>
        <v>*1,1</v>
      </c>
      <c r="H159" s="23">
        <f>Source!AV115</f>
        <v>1.0469999999999999</v>
      </c>
      <c r="I159" s="33">
        <f>ROUND((Source!AE115*Source!AV115)*Source!I115, 2)</f>
        <v>38.51</v>
      </c>
      <c r="J159" s="23">
        <f>IF(Source!BS115&lt;&gt; 0, Source!BS115, 1)</f>
        <v>17.46</v>
      </c>
      <c r="K159" s="33">
        <f>Source!R115</f>
        <v>672.42</v>
      </c>
      <c r="W159" s="37">
        <f>ROUND((Source!AE115*Source!AV115)*Source!I115, 2)</f>
        <v>38.51</v>
      </c>
    </row>
    <row r="160" spans="1:31" ht="14.25" x14ac:dyDescent="0.2">
      <c r="A160" s="21"/>
      <c r="B160" s="22"/>
      <c r="C160" s="22" t="s">
        <v>456</v>
      </c>
      <c r="D160" s="24" t="s">
        <v>454</v>
      </c>
      <c r="E160" s="23">
        <f>175</f>
        <v>175</v>
      </c>
      <c r="F160" s="26"/>
      <c r="G160" s="25"/>
      <c r="H160" s="23"/>
      <c r="I160" s="27">
        <f>SUM(U157:U159)</f>
        <v>67.39</v>
      </c>
      <c r="J160" s="23">
        <f>167</f>
        <v>167</v>
      </c>
      <c r="K160" s="27">
        <f>SUM(V157:V159)</f>
        <v>1122.94</v>
      </c>
    </row>
    <row r="161" spans="1:27" ht="15" x14ac:dyDescent="0.25">
      <c r="A161" s="41"/>
      <c r="B161" s="41"/>
      <c r="C161" s="41"/>
      <c r="D161" s="41"/>
      <c r="E161" s="41"/>
      <c r="F161" s="41"/>
      <c r="G161" s="41"/>
      <c r="H161" s="68">
        <f>I158+I160</f>
        <v>297.94</v>
      </c>
      <c r="I161" s="68"/>
      <c r="J161" s="68">
        <f>K158+K160</f>
        <v>2948.9</v>
      </c>
      <c r="K161" s="68"/>
      <c r="O161" s="42">
        <f>H161</f>
        <v>297.94</v>
      </c>
      <c r="P161" s="42">
        <f>J161</f>
        <v>2948.9</v>
      </c>
      <c r="X161" s="37">
        <f>IF(Source!BI115&lt;=1,I158+I160, 0)</f>
        <v>297.94</v>
      </c>
      <c r="Y161" s="37">
        <f>IF(Source!BI115=2,I158+I160, 0)</f>
        <v>0</v>
      </c>
      <c r="Z161" s="37">
        <f>IF(Source!BI115=3,I158+I160, 0)</f>
        <v>0</v>
      </c>
      <c r="AA161" s="37">
        <f>IF(Source!BI115=4,I158+I160, 0)</f>
        <v>0</v>
      </c>
    </row>
    <row r="162" spans="1:27" ht="82.5" x14ac:dyDescent="0.2">
      <c r="A162" s="21" t="str">
        <f>Source!E116</f>
        <v>19</v>
      </c>
      <c r="B162" s="22" t="str">
        <f>Source!F116</f>
        <v>16.1-2601-4</v>
      </c>
      <c r="C162" s="22" t="s">
        <v>461</v>
      </c>
      <c r="D162" s="24" t="str">
        <f>Source!H116</f>
        <v>камера</v>
      </c>
      <c r="E162" s="23">
        <f>Source!I116</f>
        <v>1</v>
      </c>
      <c r="F162" s="26"/>
      <c r="G162" s="25"/>
      <c r="H162" s="23"/>
      <c r="I162" s="27"/>
      <c r="J162" s="23"/>
      <c r="K162" s="27"/>
      <c r="Q162" s="37">
        <f>ROUND((Source!DN116/100)*ROUND((Source!AF116*Source!AV116)*Source!I116, 2), 2)</f>
        <v>0</v>
      </c>
      <c r="R162" s="37">
        <f>Source!X116</f>
        <v>0</v>
      </c>
      <c r="S162" s="37">
        <f>ROUND((Source!DO116/100)*ROUND((Source!AF116*Source!AV116)*Source!I116, 2), 2)</f>
        <v>0</v>
      </c>
      <c r="T162" s="37">
        <f>Source!Y116</f>
        <v>0</v>
      </c>
      <c r="U162" s="37">
        <f>ROUND((175/100)*ROUND((Source!AE116*Source!AV116)*Source!I116, 2), 2)</f>
        <v>0</v>
      </c>
      <c r="V162" s="37">
        <f>ROUND((167/100)*ROUND(Source!CS116*Source!I116, 2), 2)</f>
        <v>0</v>
      </c>
    </row>
    <row r="163" spans="1:27" ht="14.25" x14ac:dyDescent="0.2">
      <c r="A163" s="21"/>
      <c r="B163" s="22"/>
      <c r="C163" s="22" t="s">
        <v>443</v>
      </c>
      <c r="D163" s="24"/>
      <c r="E163" s="23"/>
      <c r="F163" s="26"/>
      <c r="G163" s="25"/>
      <c r="H163" s="23"/>
      <c r="I163" s="27">
        <f>I164+I165+I166+I167+SUM(I168:I169)</f>
        <v>15075.61</v>
      </c>
      <c r="J163" s="23"/>
      <c r="K163" s="27">
        <f>K164+K165+K166+K167+SUM(K168:K169)</f>
        <v>114030.68000000001</v>
      </c>
    </row>
    <row r="164" spans="1:27" ht="28.5" x14ac:dyDescent="0.2">
      <c r="A164" s="21"/>
      <c r="B164" s="22"/>
      <c r="C164" s="22" t="s">
        <v>444</v>
      </c>
      <c r="D164" s="24"/>
      <c r="E164" s="23"/>
      <c r="F164" s="26">
        <f>Source!AO116</f>
        <v>7113</v>
      </c>
      <c r="G164" s="25" t="str">
        <f>Source!DG116</f>
        <v>*1,15*0,998*0,3</v>
      </c>
      <c r="H164" s="23">
        <f>Source!AV116</f>
        <v>1</v>
      </c>
      <c r="I164" s="27">
        <f>ROUND((Source!AF116*Source!AV116)*Source!I116, 2)</f>
        <v>2449.08</v>
      </c>
      <c r="J164" s="23">
        <f>IF(Source!BA116&lt;&gt; 0, Source!BA116, 1)</f>
        <v>15.44</v>
      </c>
      <c r="K164" s="27">
        <f>Source!S116</f>
        <v>37813.75</v>
      </c>
      <c r="W164" s="37">
        <f>ROUND((Source!AF116*Source!AV116)*Source!I116, 2)</f>
        <v>2449.08</v>
      </c>
    </row>
    <row r="165" spans="1:27" ht="28.5" x14ac:dyDescent="0.2">
      <c r="A165" s="21"/>
      <c r="B165" s="22"/>
      <c r="C165" s="22" t="s">
        <v>445</v>
      </c>
      <c r="D165" s="24"/>
      <c r="E165" s="23"/>
      <c r="F165" s="26">
        <f>Source!AM116</f>
        <v>2472</v>
      </c>
      <c r="G165" s="25" t="str">
        <f>Source!DE116</f>
        <v>*1,15*0,998*0,3</v>
      </c>
      <c r="H165" s="23">
        <f>Source!AV116</f>
        <v>1</v>
      </c>
      <c r="I165" s="27">
        <f>ROUND((Source!AD116*Source!AV116)*Source!I116, 2)</f>
        <v>851.13</v>
      </c>
      <c r="J165" s="23">
        <f>IF(Source!BB116&lt;&gt; 0, Source!BB116, 1)</f>
        <v>11.38</v>
      </c>
      <c r="K165" s="27">
        <f>Source!Q116</f>
        <v>9685.91</v>
      </c>
    </row>
    <row r="166" spans="1:27" ht="14.25" x14ac:dyDescent="0.2">
      <c r="A166" s="21"/>
      <c r="B166" s="22"/>
      <c r="C166" s="22" t="s">
        <v>446</v>
      </c>
      <c r="D166" s="24"/>
      <c r="E166" s="23"/>
      <c r="F166" s="26">
        <f>Source!AL116</f>
        <v>39330</v>
      </c>
      <c r="G166" s="25" t="str">
        <f>Source!DD116</f>
        <v>*0,998*0,3</v>
      </c>
      <c r="H166" s="23">
        <f>Source!AW116</f>
        <v>1</v>
      </c>
      <c r="I166" s="27">
        <f>ROUND((Source!AC116*Source!AW116)*Source!I116, 2)</f>
        <v>11775.4</v>
      </c>
      <c r="J166" s="23">
        <f>IF(Source!BC116&lt;&gt; 0, Source!BC116, 1)</f>
        <v>5.65</v>
      </c>
      <c r="K166" s="27">
        <f>Source!P116</f>
        <v>66531.02</v>
      </c>
    </row>
    <row r="167" spans="1:27" ht="14.25" x14ac:dyDescent="0.2">
      <c r="A167" s="21"/>
      <c r="B167" s="22"/>
      <c r="C167" s="22" t="s">
        <v>120</v>
      </c>
      <c r="D167" s="24"/>
      <c r="E167" s="23"/>
      <c r="F167" s="26">
        <f>Source!GT116</f>
        <v>0</v>
      </c>
      <c r="G167" s="25"/>
      <c r="H167" s="23"/>
      <c r="I167" s="27">
        <f>Source!GT116*Source!I116</f>
        <v>0</v>
      </c>
      <c r="J167" s="23">
        <f>IF(Source!GU116&lt;&gt; 0, Source!GU116, 1)</f>
        <v>5.68</v>
      </c>
      <c r="K167" s="27">
        <f>Source!GT116*Source!GU116*Source!I116</f>
        <v>0</v>
      </c>
    </row>
    <row r="168" spans="1:27" ht="28.5" x14ac:dyDescent="0.2">
      <c r="A168" s="21" t="str">
        <f>Source!E117</f>
        <v>19,1</v>
      </c>
      <c r="B168" s="22" t="str">
        <f>Source!F117</f>
        <v>0.0-0-0</v>
      </c>
      <c r="C168" s="22" t="str">
        <f>Source!G117</f>
        <v>МАССА МУСОРА</v>
      </c>
      <c r="D168" s="24" t="str">
        <f>Source!H117</f>
        <v>т</v>
      </c>
      <c r="E168" s="23">
        <f>Source!I117</f>
        <v>-9.2813999999999994E-2</v>
      </c>
      <c r="F168" s="26">
        <f>Source!AK117</f>
        <v>0</v>
      </c>
      <c r="G168" s="28" t="s">
        <v>462</v>
      </c>
      <c r="H168" s="23">
        <f>Source!AW117</f>
        <v>1</v>
      </c>
      <c r="I168" s="27">
        <f>ROUND((Source!AC117*Source!AW117)*Source!I117, 2)+ROUND((Source!AD117*Source!AV117)*Source!I117, 2)+ROUND((Source!AF117*Source!AV117)*Source!I117, 2)</f>
        <v>0</v>
      </c>
      <c r="J168" s="23">
        <f>IF(Source!BC117&lt;&gt; 0, Source!BC117, 1)</f>
        <v>1</v>
      </c>
      <c r="K168" s="27">
        <f>Source!O117</f>
        <v>0</v>
      </c>
      <c r="Q168" s="37">
        <f>ROUND((Source!DN117/100)*ROUND((Source!AF117*Source!AV117)*Source!I117, 2), 2)</f>
        <v>0</v>
      </c>
      <c r="R168" s="37">
        <f>Source!X117</f>
        <v>0</v>
      </c>
      <c r="S168" s="37">
        <f>ROUND((Source!DO117/100)*ROUND((Source!AF117*Source!AV117)*Source!I117, 2), 2)</f>
        <v>0</v>
      </c>
      <c r="T168" s="37">
        <f>Source!Y117</f>
        <v>0</v>
      </c>
      <c r="U168" s="37">
        <f>ROUND((175/100)*ROUND((Source!AE117*Source!AV117)*Source!I117, 2), 2)</f>
        <v>0</v>
      </c>
      <c r="V168" s="37">
        <f>ROUND((167/100)*ROUND(Source!CS117*Source!I117, 2), 2)</f>
        <v>0</v>
      </c>
      <c r="X168" s="37">
        <f>IF(Source!BI117&lt;=1,I168, 0)</f>
        <v>0</v>
      </c>
      <c r="Y168" s="37">
        <f>IF(Source!BI117=2,I168, 0)</f>
        <v>0</v>
      </c>
      <c r="Z168" s="37">
        <f>IF(Source!BI117=3,I168, 0)</f>
        <v>0</v>
      </c>
      <c r="AA168" s="37">
        <f>IF(Source!BI117=4,I168, 0)</f>
        <v>0</v>
      </c>
    </row>
    <row r="169" spans="1:27" ht="28.5" x14ac:dyDescent="0.2">
      <c r="A169" s="21" t="str">
        <f>Source!E118</f>
        <v>19,2</v>
      </c>
      <c r="B169" s="22" t="str">
        <f>Source!F118</f>
        <v>0.0-0-0</v>
      </c>
      <c r="C169" s="22" t="str">
        <f>Source!G118</f>
        <v>ОБЪЕМ ГРУНТА</v>
      </c>
      <c r="D169" s="24" t="str">
        <f>Source!H118</f>
        <v>м3</v>
      </c>
      <c r="E169" s="23">
        <f>Source!I118</f>
        <v>-6.6496740000000001</v>
      </c>
      <c r="F169" s="26">
        <f>Source!AK118</f>
        <v>0</v>
      </c>
      <c r="G169" s="28" t="s">
        <v>462</v>
      </c>
      <c r="H169" s="23">
        <f>Source!AW118</f>
        <v>1</v>
      </c>
      <c r="I169" s="27">
        <f>ROUND((Source!AC118*Source!AW118)*Source!I118, 2)+ROUND((Source!AD118*Source!AV118)*Source!I118, 2)+ROUND((Source!AF118*Source!AV118)*Source!I118, 2)</f>
        <v>0</v>
      </c>
      <c r="J169" s="23">
        <f>IF(Source!BC118&lt;&gt; 0, Source!BC118, 1)</f>
        <v>1</v>
      </c>
      <c r="K169" s="27">
        <f>Source!O118</f>
        <v>0</v>
      </c>
      <c r="Q169" s="37">
        <f>ROUND((Source!DN118/100)*ROUND((Source!AF118*Source!AV118)*Source!I118, 2), 2)</f>
        <v>0</v>
      </c>
      <c r="R169" s="37">
        <f>Source!X118</f>
        <v>0</v>
      </c>
      <c r="S169" s="37">
        <f>ROUND((Source!DO118/100)*ROUND((Source!AF118*Source!AV118)*Source!I118, 2), 2)</f>
        <v>0</v>
      </c>
      <c r="T169" s="37">
        <f>Source!Y118</f>
        <v>0</v>
      </c>
      <c r="U169" s="37">
        <f>ROUND((175/100)*ROUND((Source!AE118*Source!AV118)*Source!I118, 2), 2)</f>
        <v>0</v>
      </c>
      <c r="V169" s="37">
        <f>ROUND((167/100)*ROUND(Source!CS118*Source!I118, 2), 2)</f>
        <v>0</v>
      </c>
      <c r="X169" s="37">
        <f>IF(Source!BI118&lt;=1,I169, 0)</f>
        <v>0</v>
      </c>
      <c r="Y169" s="37">
        <f>IF(Source!BI118=2,I169, 0)</f>
        <v>0</v>
      </c>
      <c r="Z169" s="37">
        <f>IF(Source!BI118=3,I169, 0)</f>
        <v>0</v>
      </c>
      <c r="AA169" s="37">
        <f>IF(Source!BI118=4,I169, 0)</f>
        <v>0</v>
      </c>
    </row>
    <row r="170" spans="1:27" ht="14.25" x14ac:dyDescent="0.2">
      <c r="A170" s="29"/>
      <c r="B170" s="30"/>
      <c r="C170" s="30" t="s">
        <v>448</v>
      </c>
      <c r="D170" s="24"/>
      <c r="E170" s="31"/>
      <c r="F170" s="32">
        <f>Source!GV116</f>
        <v>-22.21</v>
      </c>
      <c r="G170" s="24"/>
      <c r="H170" s="31"/>
      <c r="I170" s="33"/>
      <c r="J170" s="31"/>
      <c r="K170" s="33">
        <f>Source!GV116*Source!I116</f>
        <v>-22.21</v>
      </c>
    </row>
    <row r="171" spans="1:27" ht="14.25" x14ac:dyDescent="0.2">
      <c r="A171" s="29"/>
      <c r="B171" s="30"/>
      <c r="C171" s="30" t="s">
        <v>449</v>
      </c>
      <c r="D171" s="24"/>
      <c r="E171" s="31"/>
      <c r="F171" s="32">
        <f>Source!GW116</f>
        <v>-0.31</v>
      </c>
      <c r="G171" s="24"/>
      <c r="H171" s="31"/>
      <c r="I171" s="33"/>
      <c r="J171" s="31"/>
      <c r="K171" s="33">
        <f>Source!GW116*Source!I116</f>
        <v>-0.31</v>
      </c>
    </row>
    <row r="172" spans="1:27" ht="15" x14ac:dyDescent="0.25">
      <c r="A172" s="41"/>
      <c r="B172" s="41"/>
      <c r="C172" s="41"/>
      <c r="D172" s="41"/>
      <c r="E172" s="41"/>
      <c r="F172" s="41"/>
      <c r="G172" s="41"/>
      <c r="H172" s="68">
        <f>I164+I165+I166+I167+SUM(I168:I169)</f>
        <v>15075.61</v>
      </c>
      <c r="I172" s="68"/>
      <c r="J172" s="68">
        <f>K164+K165+K166+K167+SUM(K168:K169)</f>
        <v>114030.68000000001</v>
      </c>
      <c r="K172" s="68"/>
      <c r="O172" s="42">
        <f>H172</f>
        <v>15075.61</v>
      </c>
      <c r="P172" s="42">
        <f>J172</f>
        <v>114030.68000000001</v>
      </c>
      <c r="X172" s="37">
        <f>IF(Source!BI116&lt;=1,I164+I165+I166+I167, 0)</f>
        <v>15075.61</v>
      </c>
      <c r="Y172" s="37">
        <f>IF(Source!BI116=2,I164+I165+I166+I167, 0)</f>
        <v>0</v>
      </c>
      <c r="Z172" s="37">
        <f>IF(Source!BI116=3,I164+I165+I166+I167, 0)</f>
        <v>0</v>
      </c>
      <c r="AA172" s="37">
        <f>IF(Source!BI116=4,I164+I165+I166+I167, 0)</f>
        <v>0</v>
      </c>
    </row>
    <row r="173" spans="1:27" ht="55.5" x14ac:dyDescent="0.2">
      <c r="A173" s="21" t="str">
        <f>Source!E119</f>
        <v>20</v>
      </c>
      <c r="B173" s="22" t="str">
        <f>Source!F119</f>
        <v>16.1-2603-1</v>
      </c>
      <c r="C173" s="22" t="s">
        <v>463</v>
      </c>
      <c r="D173" s="24" t="str">
        <f>Source!H119</f>
        <v>узел</v>
      </c>
      <c r="E173" s="23">
        <f>Source!I119</f>
        <v>1</v>
      </c>
      <c r="F173" s="26"/>
      <c r="G173" s="25"/>
      <c r="H173" s="23"/>
      <c r="I173" s="27"/>
      <c r="J173" s="23"/>
      <c r="K173" s="27"/>
      <c r="Q173" s="37">
        <f>ROUND((Source!DN119/100)*ROUND((Source!AF119*Source!AV119)*Source!I119, 2), 2)</f>
        <v>0</v>
      </c>
      <c r="R173" s="37">
        <f>Source!X119</f>
        <v>0</v>
      </c>
      <c r="S173" s="37">
        <f>ROUND((Source!DO119/100)*ROUND((Source!AF119*Source!AV119)*Source!I119, 2), 2)</f>
        <v>0</v>
      </c>
      <c r="T173" s="37">
        <f>Source!Y119</f>
        <v>0</v>
      </c>
      <c r="U173" s="37">
        <f>ROUND((175/100)*ROUND((Source!AE119*Source!AV119)*Source!I119, 2), 2)</f>
        <v>0</v>
      </c>
      <c r="V173" s="37">
        <f>ROUND((167/100)*ROUND(Source!CS119*Source!I119, 2), 2)</f>
        <v>0</v>
      </c>
    </row>
    <row r="174" spans="1:27" ht="14.25" x14ac:dyDescent="0.2">
      <c r="A174" s="21"/>
      <c r="B174" s="22"/>
      <c r="C174" s="22" t="s">
        <v>443</v>
      </c>
      <c r="D174" s="24"/>
      <c r="E174" s="23"/>
      <c r="F174" s="26"/>
      <c r="G174" s="25"/>
      <c r="H174" s="23"/>
      <c r="I174" s="27">
        <f>I175+I176+I177+I178</f>
        <v>32364.41</v>
      </c>
      <c r="J174" s="23"/>
      <c r="K174" s="27">
        <f>K175+K176+K177+K178</f>
        <v>235254.41999999998</v>
      </c>
    </row>
    <row r="175" spans="1:27" ht="14.25" x14ac:dyDescent="0.2">
      <c r="A175" s="21"/>
      <c r="B175" s="22"/>
      <c r="C175" s="22" t="s">
        <v>444</v>
      </c>
      <c r="D175" s="24"/>
      <c r="E175" s="23"/>
      <c r="F175" s="26">
        <f>Source!AO119</f>
        <v>7504</v>
      </c>
      <c r="G175" s="25" t="str">
        <f>Source!DG119</f>
        <v>*1,15*0,73</v>
      </c>
      <c r="H175" s="23">
        <f>Source!AV119</f>
        <v>1</v>
      </c>
      <c r="I175" s="27">
        <f>ROUND((Source!AF119*Source!AV119)*Source!I119, 2)</f>
        <v>6299.61</v>
      </c>
      <c r="J175" s="23">
        <f>IF(Source!BA119&lt;&gt; 0, Source!BA119, 1)</f>
        <v>13.8</v>
      </c>
      <c r="K175" s="27">
        <f>Source!S119</f>
        <v>86934.59</v>
      </c>
      <c r="W175" s="37">
        <f>ROUND((Source!AF119*Source!AV119)*Source!I119, 2)</f>
        <v>6299.61</v>
      </c>
    </row>
    <row r="176" spans="1:27" ht="14.25" x14ac:dyDescent="0.2">
      <c r="A176" s="21"/>
      <c r="B176" s="22"/>
      <c r="C176" s="22" t="s">
        <v>445</v>
      </c>
      <c r="D176" s="24"/>
      <c r="E176" s="23"/>
      <c r="F176" s="26">
        <f>Source!AM119</f>
        <v>5018</v>
      </c>
      <c r="G176" s="25" t="str">
        <f>Source!DE119</f>
        <v>*1,15*0,65</v>
      </c>
      <c r="H176" s="23">
        <f>Source!AV119</f>
        <v>1</v>
      </c>
      <c r="I176" s="27">
        <f>ROUND((Source!AD119*Source!AV119)*Source!I119, 2)</f>
        <v>3750.96</v>
      </c>
      <c r="J176" s="23">
        <f>IF(Source!BB119&lt;&gt; 0, Source!BB119, 1)</f>
        <v>10.69</v>
      </c>
      <c r="K176" s="27">
        <f>Source!Q119</f>
        <v>40097.71</v>
      </c>
    </row>
    <row r="177" spans="1:27" ht="14.25" x14ac:dyDescent="0.2">
      <c r="A177" s="21"/>
      <c r="B177" s="22"/>
      <c r="C177" s="22" t="s">
        <v>446</v>
      </c>
      <c r="D177" s="24"/>
      <c r="E177" s="23"/>
      <c r="F177" s="26">
        <f>Source!AL119</f>
        <v>27212</v>
      </c>
      <c r="G177" s="25" t="str">
        <f>Source!DD119</f>
        <v>*0,82</v>
      </c>
      <c r="H177" s="23">
        <f>Source!AW119</f>
        <v>1</v>
      </c>
      <c r="I177" s="27">
        <f>ROUND((Source!AC119*Source!AW119)*Source!I119, 2)</f>
        <v>22313.84</v>
      </c>
      <c r="J177" s="23">
        <f>IF(Source!BC119&lt;&gt; 0, Source!BC119, 1)</f>
        <v>4.8499999999999996</v>
      </c>
      <c r="K177" s="27">
        <f>Source!P119</f>
        <v>108222.12</v>
      </c>
    </row>
    <row r="178" spans="1:27" ht="14.25" x14ac:dyDescent="0.2">
      <c r="A178" s="21"/>
      <c r="B178" s="22"/>
      <c r="C178" s="22" t="s">
        <v>120</v>
      </c>
      <c r="D178" s="24"/>
      <c r="E178" s="23"/>
      <c r="F178" s="26">
        <f>Source!GT119</f>
        <v>0</v>
      </c>
      <c r="G178" s="25"/>
      <c r="H178" s="23"/>
      <c r="I178" s="27">
        <f>Source!GT119*Source!I119</f>
        <v>0</v>
      </c>
      <c r="J178" s="23">
        <f>IF(Source!GU119&lt;&gt; 0, Source!GU119, 1)</f>
        <v>1</v>
      </c>
      <c r="K178" s="27">
        <f>Source!GT119*Source!GU119*Source!I119</f>
        <v>0</v>
      </c>
    </row>
    <row r="179" spans="1:27" ht="14.25" x14ac:dyDescent="0.2">
      <c r="A179" s="29"/>
      <c r="B179" s="30"/>
      <c r="C179" s="30" t="s">
        <v>448</v>
      </c>
      <c r="D179" s="24"/>
      <c r="E179" s="31"/>
      <c r="F179" s="32">
        <f>Source!GV119</f>
        <v>0</v>
      </c>
      <c r="G179" s="24"/>
      <c r="H179" s="31"/>
      <c r="I179" s="33"/>
      <c r="J179" s="31"/>
      <c r="K179" s="33">
        <f>Source!GV119*Source!I119</f>
        <v>0</v>
      </c>
    </row>
    <row r="180" spans="1:27" ht="14.25" x14ac:dyDescent="0.2">
      <c r="A180" s="29"/>
      <c r="B180" s="30"/>
      <c r="C180" s="30" t="s">
        <v>449</v>
      </c>
      <c r="D180" s="24"/>
      <c r="E180" s="31"/>
      <c r="F180" s="32">
        <f>Source!GW119</f>
        <v>0</v>
      </c>
      <c r="G180" s="24"/>
      <c r="H180" s="31"/>
      <c r="I180" s="33"/>
      <c r="J180" s="31"/>
      <c r="K180" s="33">
        <f>Source!GW119*Source!I119</f>
        <v>0</v>
      </c>
    </row>
    <row r="181" spans="1:27" ht="15" x14ac:dyDescent="0.25">
      <c r="A181" s="41"/>
      <c r="B181" s="41"/>
      <c r="C181" s="41"/>
      <c r="D181" s="41"/>
      <c r="E181" s="41"/>
      <c r="F181" s="41"/>
      <c r="G181" s="41"/>
      <c r="H181" s="68">
        <f>I175+I176+I177+I178</f>
        <v>32364.41</v>
      </c>
      <c r="I181" s="68"/>
      <c r="J181" s="68">
        <f>K175+K176+K177+K178</f>
        <v>235254.41999999998</v>
      </c>
      <c r="K181" s="68"/>
      <c r="O181" s="42">
        <f>H181</f>
        <v>32364.41</v>
      </c>
      <c r="P181" s="42">
        <f>J181</f>
        <v>235254.41999999998</v>
      </c>
      <c r="X181" s="37">
        <f>IF(Source!BI119&lt;=1,I175+I176+I177+I178, 0)</f>
        <v>32364.41</v>
      </c>
      <c r="Y181" s="37">
        <f>IF(Source!BI119=2,I175+I176+I177+I178, 0)</f>
        <v>0</v>
      </c>
      <c r="Z181" s="37">
        <f>IF(Source!BI119=3,I175+I176+I177+I178, 0)</f>
        <v>0</v>
      </c>
      <c r="AA181" s="37">
        <f>IF(Source!BI119=4,I175+I176+I177+I178, 0)</f>
        <v>0</v>
      </c>
    </row>
    <row r="182" spans="1:27" ht="57" x14ac:dyDescent="0.2">
      <c r="A182" s="21" t="str">
        <f>Source!E120</f>
        <v>21</v>
      </c>
      <c r="B182" s="22" t="str">
        <f>Source!F120</f>
        <v>16.3-14-1</v>
      </c>
      <c r="C182" s="22" t="str">
        <f>Source!G120</f>
        <v>ГАЗОН В ГОРОДСКИХ УСЛОВИЯХ, С ПОСЕВОМ ТРАВ, С ВНЕСЕНИЕМ РАСТИТЕЛЬНОЙ СМЕСИ СЛОЕМ 20 СМ</v>
      </c>
      <c r="D182" s="24" t="str">
        <f>Source!H120</f>
        <v>м2</v>
      </c>
      <c r="E182" s="23">
        <f>Source!I120</f>
        <v>98</v>
      </c>
      <c r="F182" s="26"/>
      <c r="G182" s="25"/>
      <c r="H182" s="23"/>
      <c r="I182" s="27"/>
      <c r="J182" s="23"/>
      <c r="K182" s="27"/>
      <c r="Q182" s="37">
        <f>ROUND((Source!DN120/100)*ROUND((Source!AF120*Source!AV120)*Source!I120, 2), 2)</f>
        <v>0</v>
      </c>
      <c r="R182" s="37">
        <f>Source!X120</f>
        <v>0</v>
      </c>
      <c r="S182" s="37">
        <f>ROUND((Source!DO120/100)*ROUND((Source!AF120*Source!AV120)*Source!I120, 2), 2)</f>
        <v>0</v>
      </c>
      <c r="T182" s="37">
        <f>Source!Y120</f>
        <v>0</v>
      </c>
      <c r="U182" s="37">
        <f>ROUND((175/100)*ROUND((Source!AE120*Source!AV120)*Source!I120, 2), 2)</f>
        <v>0</v>
      </c>
      <c r="V182" s="37">
        <f>ROUND((167/100)*ROUND(Source!CS120*Source!I120, 2), 2)</f>
        <v>0</v>
      </c>
    </row>
    <row r="183" spans="1:27" x14ac:dyDescent="0.2">
      <c r="C183" s="34" t="str">
        <f>"Объем: "&amp;Source!I120&amp;"=(5,2+"&amp;"4,6)*"&amp;"2*"&amp;"5"</f>
        <v>Объем: 98=(5,2+4,6)*2*5</v>
      </c>
    </row>
    <row r="184" spans="1:27" ht="14.25" x14ac:dyDescent="0.2">
      <c r="A184" s="21"/>
      <c r="B184" s="22"/>
      <c r="C184" s="22" t="s">
        <v>443</v>
      </c>
      <c r="D184" s="24"/>
      <c r="E184" s="23"/>
      <c r="F184" s="26"/>
      <c r="G184" s="25"/>
      <c r="H184" s="23"/>
      <c r="I184" s="27">
        <f>I185+I186+I187+I188+SUM(I189:I189)</f>
        <v>14763.7</v>
      </c>
      <c r="J184" s="23"/>
      <c r="K184" s="27">
        <f>K185+K186+K187+K188+SUM(K189:K189)</f>
        <v>151617.56</v>
      </c>
    </row>
    <row r="185" spans="1:27" ht="14.25" x14ac:dyDescent="0.2">
      <c r="A185" s="21"/>
      <c r="B185" s="22"/>
      <c r="C185" s="22" t="s">
        <v>444</v>
      </c>
      <c r="D185" s="24"/>
      <c r="E185" s="23"/>
      <c r="F185" s="26">
        <f>Source!AO120</f>
        <v>41</v>
      </c>
      <c r="G185" s="25" t="str">
        <f>Source!DG120</f>
        <v>*1,15</v>
      </c>
      <c r="H185" s="23">
        <f>Source!AV120</f>
        <v>1</v>
      </c>
      <c r="I185" s="27">
        <f>ROUND((Source!AF120*Source!AV120)*Source!I120, 2)</f>
        <v>4620.7</v>
      </c>
      <c r="J185" s="23">
        <f>IF(Source!BA120&lt;&gt; 0, Source!BA120, 1)</f>
        <v>15.42</v>
      </c>
      <c r="K185" s="27">
        <f>Source!S120</f>
        <v>71251.19</v>
      </c>
      <c r="W185" s="37">
        <f>ROUND((Source!AF120*Source!AV120)*Source!I120, 2)</f>
        <v>4620.7</v>
      </c>
    </row>
    <row r="186" spans="1:27" ht="14.25" x14ac:dyDescent="0.2">
      <c r="A186" s="21"/>
      <c r="B186" s="22"/>
      <c r="C186" s="22" t="s">
        <v>445</v>
      </c>
      <c r="D186" s="24"/>
      <c r="E186" s="23"/>
      <c r="F186" s="26">
        <f>Source!AM120</f>
        <v>30</v>
      </c>
      <c r="G186" s="25" t="str">
        <f>Source!DE120</f>
        <v>*1,15</v>
      </c>
      <c r="H186" s="23">
        <f>Source!AV120</f>
        <v>1</v>
      </c>
      <c r="I186" s="27">
        <f>ROUND((Source!AD120*Source!AV120)*Source!I120, 2)</f>
        <v>3381</v>
      </c>
      <c r="J186" s="23">
        <f>IF(Source!BB120&lt;&gt; 0, Source!BB120, 1)</f>
        <v>7.79</v>
      </c>
      <c r="K186" s="27">
        <f>Source!Q120</f>
        <v>26337.99</v>
      </c>
    </row>
    <row r="187" spans="1:27" ht="14.25" x14ac:dyDescent="0.2">
      <c r="A187" s="21"/>
      <c r="B187" s="22"/>
      <c r="C187" s="22" t="s">
        <v>446</v>
      </c>
      <c r="D187" s="24"/>
      <c r="E187" s="23"/>
      <c r="F187" s="26">
        <f>Source!AL120</f>
        <v>69</v>
      </c>
      <c r="G187" s="25" t="str">
        <f>Source!DD120</f>
        <v/>
      </c>
      <c r="H187" s="23">
        <f>Source!AW120</f>
        <v>1</v>
      </c>
      <c r="I187" s="27">
        <f>ROUND((Source!AC120*Source!AW120)*Source!I120, 2)</f>
        <v>6762</v>
      </c>
      <c r="J187" s="23">
        <f>IF(Source!BC120&lt;&gt; 0, Source!BC120, 1)</f>
        <v>7.99</v>
      </c>
      <c r="K187" s="27">
        <f>Source!P120</f>
        <v>54028.38</v>
      </c>
    </row>
    <row r="188" spans="1:27" ht="14.25" x14ac:dyDescent="0.2">
      <c r="A188" s="21"/>
      <c r="B188" s="22"/>
      <c r="C188" s="22" t="s">
        <v>120</v>
      </c>
      <c r="D188" s="24"/>
      <c r="E188" s="23"/>
      <c r="F188" s="26">
        <f>Source!GT120</f>
        <v>0</v>
      </c>
      <c r="G188" s="25"/>
      <c r="H188" s="23"/>
      <c r="I188" s="27">
        <f>Source!GT120*Source!I120</f>
        <v>0</v>
      </c>
      <c r="J188" s="23">
        <f>IF(Source!GU120&lt;&gt; 0, Source!GU120, 1)</f>
        <v>1</v>
      </c>
      <c r="K188" s="27">
        <f>Source!GT120*Source!GU120*Source!I120</f>
        <v>0</v>
      </c>
    </row>
    <row r="189" spans="1:27" ht="14.25" x14ac:dyDescent="0.2">
      <c r="A189" s="21" t="str">
        <f>Source!E121</f>
        <v>21,1</v>
      </c>
      <c r="B189" s="22" t="str">
        <f>Source!F121</f>
        <v>0.0-0-0</v>
      </c>
      <c r="C189" s="22" t="str">
        <f>Source!G121</f>
        <v>ОБЪЕМ ГРУНТА</v>
      </c>
      <c r="D189" s="24" t="str">
        <f>Source!H121</f>
        <v>м3</v>
      </c>
      <c r="E189" s="23">
        <f>Source!I121</f>
        <v>-19.600000000000001</v>
      </c>
      <c r="F189" s="26">
        <f>Source!AK121</f>
        <v>0</v>
      </c>
      <c r="G189" s="28" t="s">
        <v>3</v>
      </c>
      <c r="H189" s="23">
        <f>Source!AW121</f>
        <v>1</v>
      </c>
      <c r="I189" s="27">
        <f>ROUND((Source!AC121*Source!AW121)*Source!I121, 2)+ROUND((Source!AD121*Source!AV121)*Source!I121, 2)+ROUND((Source!AF121*Source!AV121)*Source!I121, 2)</f>
        <v>0</v>
      </c>
      <c r="J189" s="23">
        <f>IF(Source!BC121&lt;&gt; 0, Source!BC121, 1)</f>
        <v>1</v>
      </c>
      <c r="K189" s="27">
        <f>Source!O121</f>
        <v>0</v>
      </c>
      <c r="Q189" s="37">
        <f>ROUND((Source!DN121/100)*ROUND((Source!AF121*Source!AV121)*Source!I121, 2), 2)</f>
        <v>0</v>
      </c>
      <c r="R189" s="37">
        <f>Source!X121</f>
        <v>0</v>
      </c>
      <c r="S189" s="37">
        <f>ROUND((Source!DO121/100)*ROUND((Source!AF121*Source!AV121)*Source!I121, 2), 2)</f>
        <v>0</v>
      </c>
      <c r="T189" s="37">
        <f>Source!Y121</f>
        <v>0</v>
      </c>
      <c r="U189" s="37">
        <f>ROUND((175/100)*ROUND((Source!AE121*Source!AV121)*Source!I121, 2), 2)</f>
        <v>0</v>
      </c>
      <c r="V189" s="37">
        <f>ROUND((167/100)*ROUND(Source!CS121*Source!I121, 2), 2)</f>
        <v>0</v>
      </c>
      <c r="X189" s="37">
        <f>IF(Source!BI121&lt;=1,I189, 0)</f>
        <v>0</v>
      </c>
      <c r="Y189" s="37">
        <f>IF(Source!BI121=2,I189, 0)</f>
        <v>0</v>
      </c>
      <c r="Z189" s="37">
        <f>IF(Source!BI121=3,I189, 0)</f>
        <v>0</v>
      </c>
      <c r="AA189" s="37">
        <f>IF(Source!BI121=4,I189, 0)</f>
        <v>0</v>
      </c>
    </row>
    <row r="190" spans="1:27" ht="14.25" x14ac:dyDescent="0.2">
      <c r="A190" s="29"/>
      <c r="B190" s="30"/>
      <c r="C190" s="30" t="s">
        <v>448</v>
      </c>
      <c r="D190" s="24"/>
      <c r="E190" s="31"/>
      <c r="F190" s="32">
        <f>Source!GV120</f>
        <v>-0.2</v>
      </c>
      <c r="G190" s="24"/>
      <c r="H190" s="31"/>
      <c r="I190" s="33"/>
      <c r="J190" s="31"/>
      <c r="K190" s="33">
        <f>Source!GV120*Source!I120</f>
        <v>-19.600000000000001</v>
      </c>
    </row>
    <row r="191" spans="1:27" ht="14.25" x14ac:dyDescent="0.2">
      <c r="A191" s="29"/>
      <c r="B191" s="30"/>
      <c r="C191" s="30" t="s">
        <v>449</v>
      </c>
      <c r="D191" s="24"/>
      <c r="E191" s="31"/>
      <c r="F191" s="32">
        <f>Source!GW120</f>
        <v>0</v>
      </c>
      <c r="G191" s="24"/>
      <c r="H191" s="31"/>
      <c r="I191" s="33"/>
      <c r="J191" s="31"/>
      <c r="K191" s="33">
        <f>Source!GW120*Source!I120</f>
        <v>0</v>
      </c>
    </row>
    <row r="192" spans="1:27" ht="15" x14ac:dyDescent="0.25">
      <c r="A192" s="41"/>
      <c r="B192" s="41"/>
      <c r="C192" s="41"/>
      <c r="D192" s="41"/>
      <c r="E192" s="41"/>
      <c r="F192" s="41"/>
      <c r="G192" s="41"/>
      <c r="H192" s="68">
        <f>I185+I186+I187+I188+SUM(I189:I189)</f>
        <v>14763.7</v>
      </c>
      <c r="I192" s="68"/>
      <c r="J192" s="68">
        <f>K185+K186+K187+K188+SUM(K189:K189)</f>
        <v>151617.56</v>
      </c>
      <c r="K192" s="68"/>
      <c r="O192" s="42">
        <f>H192</f>
        <v>14763.7</v>
      </c>
      <c r="P192" s="42">
        <f>J192</f>
        <v>151617.56</v>
      </c>
      <c r="X192" s="37">
        <f>IF(Source!BI120&lt;=1,I185+I186+I187+I188, 0)</f>
        <v>14763.7</v>
      </c>
      <c r="Y192" s="37">
        <f>IF(Source!BI120=2,I185+I186+I187+I188, 0)</f>
        <v>0</v>
      </c>
      <c r="Z192" s="37">
        <f>IF(Source!BI120=3,I185+I186+I187+I188, 0)</f>
        <v>0</v>
      </c>
      <c r="AA192" s="37">
        <f>IF(Source!BI120=4,I185+I186+I187+I188, 0)</f>
        <v>0</v>
      </c>
    </row>
    <row r="193" spans="1:27" ht="71.25" x14ac:dyDescent="0.2">
      <c r="A193" s="21" t="str">
        <f>Source!E122</f>
        <v>22</v>
      </c>
      <c r="B193" s="22" t="str">
        <f>Source!F122</f>
        <v>3.1-6-10</v>
      </c>
      <c r="C193" s="22" t="str">
        <f>Source!G122</f>
        <v>РАЗРАБОТКА ГРУНТА С ПОГРУЗКОЙ НА АВТОМОБИЛИ-САМОСВАЛЫ ЭКСКАВАТОРАМИ С КОВШОМ ВМЕСТИМОСТЬЮ 0,5 М3 ГРУППА ГРУНТОВ 1-3</v>
      </c>
      <c r="D193" s="24" t="str">
        <f>Source!H122</f>
        <v>100 м3</v>
      </c>
      <c r="E193" s="23">
        <f>Source!I122</f>
        <v>0.26250000000000001</v>
      </c>
      <c r="F193" s="26"/>
      <c r="G193" s="25"/>
      <c r="H193" s="23"/>
      <c r="I193" s="27"/>
      <c r="J193" s="23"/>
      <c r="K193" s="27"/>
      <c r="Q193" s="37">
        <f>ROUND((Source!DN122/100)*ROUND((Source!AF122*Source!AV122)*Source!I122, 2), 2)</f>
        <v>4.32</v>
      </c>
      <c r="R193" s="37">
        <f>Source!X122</f>
        <v>74.72</v>
      </c>
      <c r="S193" s="37">
        <f>ROUND((Source!DO122/100)*ROUND((Source!AF122*Source!AV122)*Source!I122, 2), 2)</f>
        <v>3.4</v>
      </c>
      <c r="T193" s="37">
        <f>Source!Y122</f>
        <v>41.6</v>
      </c>
      <c r="U193" s="37">
        <f>ROUND((175/100)*ROUND((Source!AE122*Source!AV122)*Source!I122, 2), 2)</f>
        <v>76.930000000000007</v>
      </c>
      <c r="V193" s="37">
        <f>ROUND((167/100)*ROUND(Source!CS122*Source!I122, 2), 2)</f>
        <v>1281.69</v>
      </c>
    </row>
    <row r="194" spans="1:27" x14ac:dyDescent="0.2">
      <c r="C194" s="34" t="str">
        <f>"Объем: "&amp;Source!I122&amp;"=(19,6+"&amp;"6,65)/"&amp;"100"</f>
        <v>Объем: 0,2625=(19,6+6,65)/100</v>
      </c>
    </row>
    <row r="195" spans="1:27" ht="14.25" x14ac:dyDescent="0.2">
      <c r="A195" s="21"/>
      <c r="B195" s="22"/>
      <c r="C195" s="22" t="s">
        <v>450</v>
      </c>
      <c r="D195" s="24"/>
      <c r="E195" s="23"/>
      <c r="F195" s="26">
        <f>Source!AO122</f>
        <v>14.1</v>
      </c>
      <c r="G195" s="25" t="str">
        <f>Source!DG122</f>
        <v/>
      </c>
      <c r="H195" s="23">
        <f>Source!AV122</f>
        <v>1.1919999999999999</v>
      </c>
      <c r="I195" s="27">
        <f>ROUND((Source!AF122*Source!AV122)*Source!I122, 2)</f>
        <v>4.41</v>
      </c>
      <c r="J195" s="23">
        <f>IF(Source!BA122&lt;&gt; 0, Source!BA122, 1)</f>
        <v>17.46</v>
      </c>
      <c r="K195" s="27">
        <f>Source!S122</f>
        <v>77.03</v>
      </c>
      <c r="W195" s="37">
        <f>ROUND((Source!AF122*Source!AV122)*Source!I122, 2)</f>
        <v>4.41</v>
      </c>
    </row>
    <row r="196" spans="1:27" ht="14.25" x14ac:dyDescent="0.2">
      <c r="A196" s="21"/>
      <c r="B196" s="22"/>
      <c r="C196" s="22" t="s">
        <v>451</v>
      </c>
      <c r="D196" s="24"/>
      <c r="E196" s="23"/>
      <c r="F196" s="26">
        <f>Source!AM122</f>
        <v>757.55</v>
      </c>
      <c r="G196" s="25" t="str">
        <f>Source!DE122</f>
        <v/>
      </c>
      <c r="H196" s="23">
        <f>Source!AV122</f>
        <v>1.1919999999999999</v>
      </c>
      <c r="I196" s="27">
        <f>ROUND((Source!AD122*Source!AV122)*Source!I122, 2)</f>
        <v>237.04</v>
      </c>
      <c r="J196" s="23">
        <f>IF(Source!BB122&lt;&gt; 0, Source!BB122, 1)</f>
        <v>7.49</v>
      </c>
      <c r="K196" s="27">
        <f>Source!Q122</f>
        <v>1775.41</v>
      </c>
    </row>
    <row r="197" spans="1:27" ht="14.25" x14ac:dyDescent="0.2">
      <c r="A197" s="21"/>
      <c r="B197" s="22"/>
      <c r="C197" s="22" t="s">
        <v>452</v>
      </c>
      <c r="D197" s="24"/>
      <c r="E197" s="23"/>
      <c r="F197" s="26">
        <f>Source!AN122</f>
        <v>140.47999999999999</v>
      </c>
      <c r="G197" s="25" t="str">
        <f>Source!DF122</f>
        <v/>
      </c>
      <c r="H197" s="23">
        <f>Source!AV122</f>
        <v>1.1919999999999999</v>
      </c>
      <c r="I197" s="33">
        <f>ROUND((Source!AE122*Source!AV122)*Source!I122, 2)</f>
        <v>43.96</v>
      </c>
      <c r="J197" s="23">
        <f>IF(Source!BS122&lt;&gt; 0, Source!BS122, 1)</f>
        <v>17.46</v>
      </c>
      <c r="K197" s="33">
        <f>Source!R122</f>
        <v>767.48</v>
      </c>
      <c r="W197" s="37">
        <f>ROUND((Source!AE122*Source!AV122)*Source!I122, 2)</f>
        <v>43.96</v>
      </c>
    </row>
    <row r="198" spans="1:27" ht="14.25" x14ac:dyDescent="0.2">
      <c r="A198" s="21"/>
      <c r="B198" s="22"/>
      <c r="C198" s="22" t="s">
        <v>453</v>
      </c>
      <c r="D198" s="24" t="s">
        <v>454</v>
      </c>
      <c r="E198" s="23">
        <f>Source!DN122</f>
        <v>98</v>
      </c>
      <c r="F198" s="26"/>
      <c r="G198" s="25"/>
      <c r="H198" s="23"/>
      <c r="I198" s="27">
        <f>SUM(Q193:Q197)</f>
        <v>4.32</v>
      </c>
      <c r="J198" s="23">
        <f>Source!BZ122</f>
        <v>97</v>
      </c>
      <c r="K198" s="27">
        <f>SUM(R193:R197)</f>
        <v>74.72</v>
      </c>
    </row>
    <row r="199" spans="1:27" ht="14.25" x14ac:dyDescent="0.2">
      <c r="A199" s="21"/>
      <c r="B199" s="22"/>
      <c r="C199" s="22" t="s">
        <v>455</v>
      </c>
      <c r="D199" s="24" t="s">
        <v>454</v>
      </c>
      <c r="E199" s="23">
        <f>Source!DO122</f>
        <v>77</v>
      </c>
      <c r="F199" s="26"/>
      <c r="G199" s="25"/>
      <c r="H199" s="23"/>
      <c r="I199" s="27">
        <f>SUM(S193:S198)</f>
        <v>3.4</v>
      </c>
      <c r="J199" s="23">
        <f>Source!CA122</f>
        <v>54</v>
      </c>
      <c r="K199" s="27">
        <f>SUM(T193:T198)</f>
        <v>41.6</v>
      </c>
    </row>
    <row r="200" spans="1:27" ht="14.25" x14ac:dyDescent="0.2">
      <c r="A200" s="21"/>
      <c r="B200" s="22"/>
      <c r="C200" s="22" t="s">
        <v>456</v>
      </c>
      <c r="D200" s="24" t="s">
        <v>454</v>
      </c>
      <c r="E200" s="23">
        <f>175</f>
        <v>175</v>
      </c>
      <c r="F200" s="26"/>
      <c r="G200" s="25"/>
      <c r="H200" s="23"/>
      <c r="I200" s="27">
        <f>SUM(U193:U199)</f>
        <v>76.930000000000007</v>
      </c>
      <c r="J200" s="23">
        <f>167</f>
        <v>167</v>
      </c>
      <c r="K200" s="27">
        <f>SUM(V193:V199)</f>
        <v>1281.69</v>
      </c>
    </row>
    <row r="201" spans="1:27" ht="14.25" x14ac:dyDescent="0.2">
      <c r="A201" s="21"/>
      <c r="B201" s="22"/>
      <c r="C201" s="22" t="s">
        <v>457</v>
      </c>
      <c r="D201" s="24" t="s">
        <v>458</v>
      </c>
      <c r="E201" s="23">
        <f>Source!AQ122</f>
        <v>1.38</v>
      </c>
      <c r="F201" s="26"/>
      <c r="G201" s="25" t="str">
        <f>Source!DI122</f>
        <v/>
      </c>
      <c r="H201" s="23">
        <f>Source!AV122</f>
        <v>1.1919999999999999</v>
      </c>
      <c r="I201" s="27">
        <f>Source!U122</f>
        <v>0.43180199999999996</v>
      </c>
      <c r="J201" s="23"/>
      <c r="K201" s="27"/>
    </row>
    <row r="202" spans="1:27" ht="15" x14ac:dyDescent="0.25">
      <c r="A202" s="41"/>
      <c r="B202" s="41"/>
      <c r="C202" s="41"/>
      <c r="D202" s="41"/>
      <c r="E202" s="41"/>
      <c r="F202" s="41"/>
      <c r="G202" s="41"/>
      <c r="H202" s="68">
        <f>I195+I196+I198+I199+I200</f>
        <v>326.10000000000002</v>
      </c>
      <c r="I202" s="68"/>
      <c r="J202" s="68">
        <f>K195+K196+K198+K199+K200</f>
        <v>3250.45</v>
      </c>
      <c r="K202" s="68"/>
      <c r="O202" s="42">
        <f>H202</f>
        <v>326.10000000000002</v>
      </c>
      <c r="P202" s="42">
        <f>J202</f>
        <v>3250.45</v>
      </c>
      <c r="X202" s="37">
        <f>IF(Source!BI122&lt;=1,I195+I196+I198+I199+I200, 0)</f>
        <v>326.10000000000002</v>
      </c>
      <c r="Y202" s="37">
        <f>IF(Source!BI122=2,I195+I196+I198+I199+I200, 0)</f>
        <v>0</v>
      </c>
      <c r="Z202" s="37">
        <f>IF(Source!BI122=3,I195+I196+I198+I199+I200, 0)</f>
        <v>0</v>
      </c>
      <c r="AA202" s="37">
        <f>IF(Source!BI122=4,I195+I196+I198+I199+I200, 0)</f>
        <v>0</v>
      </c>
    </row>
    <row r="203" spans="1:27" ht="85.5" x14ac:dyDescent="0.2">
      <c r="A203" s="21" t="str">
        <f>Source!E123</f>
        <v>23</v>
      </c>
      <c r="B203" s="22" t="str">
        <f>Source!F123</f>
        <v>15.1-28-1</v>
      </c>
      <c r="C203" s="22" t="str">
        <f>Source!G123</f>
        <v>ПЕРЕВОЗКА ГРУНТА ИЗ-ПОД ЗДАНИЙ И КОММУНИКАЦИЙ НА РАССТОЯНИЕ 28 КМ АВТОСАМОСВАЛАМИ ГРУЗОПОДЪЕМНОСТЬЮ ДО 16Т, ПЕРЕВОЗКА ДО 28 КМ</v>
      </c>
      <c r="D203" s="24" t="str">
        <f>Source!H123</f>
        <v>м3</v>
      </c>
      <c r="E203" s="23">
        <f>Source!I123</f>
        <v>26.25</v>
      </c>
      <c r="F203" s="26"/>
      <c r="G203" s="25"/>
      <c r="H203" s="23"/>
      <c r="I203" s="27"/>
      <c r="J203" s="23"/>
      <c r="K203" s="27"/>
      <c r="Q203" s="37">
        <f>ROUND((Source!DN123/100)*ROUND((Source!AF123*Source!AV123)*Source!I123, 2), 2)</f>
        <v>0</v>
      </c>
      <c r="R203" s="37">
        <f>Source!X123</f>
        <v>0</v>
      </c>
      <c r="S203" s="37">
        <f>ROUND((Source!DO123/100)*ROUND((Source!AF123*Source!AV123)*Source!I123, 2), 2)</f>
        <v>0</v>
      </c>
      <c r="T203" s="37">
        <f>Source!Y123</f>
        <v>0</v>
      </c>
      <c r="U203" s="37">
        <f>ROUND((175/100)*ROUND((Source!AE123*Source!AV123)*Source!I123, 2), 2)</f>
        <v>0</v>
      </c>
      <c r="V203" s="37">
        <f>ROUND((167/100)*ROUND(Source!CS123*Source!I123, 2), 2)</f>
        <v>0</v>
      </c>
    </row>
    <row r="204" spans="1:27" x14ac:dyDescent="0.2">
      <c r="C204" s="34" t="str">
        <f>"Объем: "&amp;Source!I123&amp;"="&amp;Source!I122&amp;"*"&amp;"100"</f>
        <v>Объем: 26,25=0,2625*100</v>
      </c>
    </row>
    <row r="205" spans="1:27" ht="14.25" x14ac:dyDescent="0.2">
      <c r="A205" s="21"/>
      <c r="B205" s="22"/>
      <c r="C205" s="22" t="s">
        <v>451</v>
      </c>
      <c r="D205" s="24"/>
      <c r="E205" s="23"/>
      <c r="F205" s="26">
        <f>Source!AM123</f>
        <v>71.319999999999993</v>
      </c>
      <c r="G205" s="25" t="str">
        <f>Source!DE123</f>
        <v/>
      </c>
      <c r="H205" s="23">
        <f>Source!AV123</f>
        <v>1</v>
      </c>
      <c r="I205" s="27">
        <f>ROUND((Source!AD123*Source!AV123)*Source!I123, 2)</f>
        <v>1872.15</v>
      </c>
      <c r="J205" s="23">
        <f>IF(Source!BB123&lt;&gt; 0, Source!BB123, 1)</f>
        <v>8.7799999999999994</v>
      </c>
      <c r="K205" s="27">
        <f>Source!Q123</f>
        <v>16437.48</v>
      </c>
    </row>
    <row r="206" spans="1:27" ht="15" x14ac:dyDescent="0.25">
      <c r="A206" s="41"/>
      <c r="B206" s="41"/>
      <c r="C206" s="41"/>
      <c r="D206" s="41"/>
      <c r="E206" s="41"/>
      <c r="F206" s="41"/>
      <c r="G206" s="41"/>
      <c r="H206" s="68">
        <f>I205</f>
        <v>1872.15</v>
      </c>
      <c r="I206" s="68"/>
      <c r="J206" s="68">
        <f>K205</f>
        <v>16437.48</v>
      </c>
      <c r="K206" s="68"/>
      <c r="O206" s="42">
        <f>H206</f>
        <v>1872.15</v>
      </c>
      <c r="P206" s="42">
        <f>J206</f>
        <v>16437.48</v>
      </c>
      <c r="X206" s="37">
        <f>IF(Source!BI123&lt;=1,I205, 0)</f>
        <v>0</v>
      </c>
      <c r="Y206" s="37">
        <f>IF(Source!BI123=2,I205, 0)</f>
        <v>0</v>
      </c>
      <c r="Z206" s="37">
        <f>IF(Source!BI123=3,I205, 0)</f>
        <v>0</v>
      </c>
      <c r="AA206" s="37">
        <f>IF(Source!BI123=4,I205, 0)</f>
        <v>1872.15</v>
      </c>
    </row>
    <row r="207" spans="1:27" ht="99.75" x14ac:dyDescent="0.2">
      <c r="A207" s="21" t="str">
        <f>Source!E124</f>
        <v>24</v>
      </c>
      <c r="B207" s="22" t="str">
        <f>Source!F124</f>
        <v>15.1-0-9</v>
      </c>
      <c r="C207" s="22" t="str">
        <f>Source!G124</f>
        <v>РАЗМЕЩЕНИЕ ГРУНТОВ, ПОЛУЧЕННЫХ В РЕЗУЛЬТАТЕ ПРОИЗВОДСТВА ЗЕМЛЯНЫХ РАБОТ, НЕ ИСПОЛЬЗУЕМЫХ ДЛЯ ОБРАТНОЙ ЗАСЫПКИ: ГРУНТЫ НЕЗАМУСОРЕННЫЕ ЭКОЛОГИЧЕСКИ ЧИСТЫЕ</v>
      </c>
      <c r="D207" s="24" t="str">
        <f>Source!H124</f>
        <v>т</v>
      </c>
      <c r="E207" s="23">
        <f>Source!I124</f>
        <v>39.375</v>
      </c>
      <c r="F207" s="26"/>
      <c r="G207" s="25"/>
      <c r="H207" s="23"/>
      <c r="I207" s="27"/>
      <c r="J207" s="23"/>
      <c r="K207" s="27"/>
      <c r="Q207" s="37">
        <f>ROUND((Source!DN124/100)*ROUND((Source!AF124*Source!AV124)*Source!I124, 2), 2)</f>
        <v>0</v>
      </c>
      <c r="R207" s="37">
        <f>Source!X124</f>
        <v>0</v>
      </c>
      <c r="S207" s="37">
        <f>ROUND((Source!DO124/100)*ROUND((Source!AF124*Source!AV124)*Source!I124, 2), 2)</f>
        <v>0</v>
      </c>
      <c r="T207" s="37">
        <f>Source!Y124</f>
        <v>0</v>
      </c>
      <c r="U207" s="37">
        <f>ROUND((175/100)*ROUND((Source!AE124*Source!AV124)*Source!I124, 2), 2)</f>
        <v>0</v>
      </c>
      <c r="V207" s="37">
        <f>ROUND((167/100)*ROUND(Source!CS124*Source!I124, 2), 2)</f>
        <v>0</v>
      </c>
    </row>
    <row r="208" spans="1:27" x14ac:dyDescent="0.2">
      <c r="C208" s="34" t="str">
        <f>"Объем: "&amp;Source!I124&amp;"="&amp;Source!I123&amp;"*"&amp;"1,5"</f>
        <v>Объем: 39,375=26,25*1,5</v>
      </c>
    </row>
    <row r="209" spans="1:32" ht="14.25" x14ac:dyDescent="0.2">
      <c r="A209" s="21"/>
      <c r="B209" s="22"/>
      <c r="C209" s="22" t="s">
        <v>451</v>
      </c>
      <c r="D209" s="24"/>
      <c r="E209" s="23"/>
      <c r="F209" s="26">
        <f>Source!AM124</f>
        <v>43.28</v>
      </c>
      <c r="G209" s="25" t="str">
        <f>Source!DE124</f>
        <v/>
      </c>
      <c r="H209" s="23">
        <f>Source!AV124</f>
        <v>1</v>
      </c>
      <c r="I209" s="27">
        <f>ROUND((Source!AD124*Source!AV124)*Source!I124, 2)</f>
        <v>1704.15</v>
      </c>
      <c r="J209" s="23">
        <f>IF(Source!BB124&lt;&gt; 0, Source!BB124, 1)</f>
        <v>2.09</v>
      </c>
      <c r="K209" s="27">
        <f>Source!Q124</f>
        <v>3561.67</v>
      </c>
    </row>
    <row r="210" spans="1:32" ht="15" x14ac:dyDescent="0.25">
      <c r="A210" s="41"/>
      <c r="B210" s="41"/>
      <c r="C210" s="41"/>
      <c r="D210" s="41"/>
      <c r="E210" s="41"/>
      <c r="F210" s="41"/>
      <c r="G210" s="41"/>
      <c r="H210" s="68">
        <f>I209</f>
        <v>1704.15</v>
      </c>
      <c r="I210" s="68"/>
      <c r="J210" s="68">
        <f>K209</f>
        <v>3561.67</v>
      </c>
      <c r="K210" s="68"/>
      <c r="O210" s="42">
        <f>H210</f>
        <v>1704.15</v>
      </c>
      <c r="P210" s="42">
        <f>J210</f>
        <v>3561.67</v>
      </c>
      <c r="X210" s="37">
        <f>IF(Source!BI124&lt;=1,I209, 0)</f>
        <v>0</v>
      </c>
      <c r="Y210" s="37">
        <f>IF(Source!BI124=2,I209, 0)</f>
        <v>0</v>
      </c>
      <c r="Z210" s="37">
        <f>IF(Source!BI124=3,I209, 0)</f>
        <v>0</v>
      </c>
      <c r="AA210" s="37">
        <f>IF(Source!BI124=4,I209, 0)</f>
        <v>1704.15</v>
      </c>
    </row>
    <row r="211" spans="1:32" ht="71.25" x14ac:dyDescent="0.2">
      <c r="A211" s="21" t="str">
        <f>Source!E125</f>
        <v>25</v>
      </c>
      <c r="B211" s="22" t="str">
        <f>Source!F125</f>
        <v>15.1-28-5</v>
      </c>
      <c r="C211" s="22" t="str">
        <f>Source!G125</f>
        <v>ПЕРЕВОЗКА СТРОИТЕЛЬНОГО МУСОРА НА РАССТОЯНИЕ 28 КМ АВТОСАМОСВАЛАМИ ГРУЗОПОДЪЕМНОСТЬЮ ДО 16 Т, ПЕРЕВОЗКА ДО 28 КМ</v>
      </c>
      <c r="D211" s="24" t="str">
        <f>Source!H125</f>
        <v>т</v>
      </c>
      <c r="E211" s="23">
        <f>Source!I125</f>
        <v>22.687000000000001</v>
      </c>
      <c r="F211" s="26"/>
      <c r="G211" s="25"/>
      <c r="H211" s="23"/>
      <c r="I211" s="27"/>
      <c r="J211" s="23"/>
      <c r="K211" s="27"/>
      <c r="Q211" s="37">
        <f>ROUND((Source!DN125/100)*ROUND((Source!AF125*Source!AV125)*Source!I125, 2), 2)</f>
        <v>0</v>
      </c>
      <c r="R211" s="37">
        <f>Source!X125</f>
        <v>0</v>
      </c>
      <c r="S211" s="37">
        <f>ROUND((Source!DO125/100)*ROUND((Source!AF125*Source!AV125)*Source!I125, 2), 2)</f>
        <v>0</v>
      </c>
      <c r="T211" s="37">
        <f>Source!Y125</f>
        <v>0</v>
      </c>
      <c r="U211" s="37">
        <f>ROUND((175/100)*ROUND((Source!AE125*Source!AV125)*Source!I125, 2), 2)</f>
        <v>0</v>
      </c>
      <c r="V211" s="37">
        <f>ROUND((167/100)*ROUND(Source!CS125*Source!I125, 2), 2)</f>
        <v>0</v>
      </c>
    </row>
    <row r="212" spans="1:32" ht="14.25" x14ac:dyDescent="0.2">
      <c r="A212" s="21"/>
      <c r="B212" s="22"/>
      <c r="C212" s="22" t="s">
        <v>451</v>
      </c>
      <c r="D212" s="24"/>
      <c r="E212" s="23"/>
      <c r="F212" s="26">
        <f>Source!AM125</f>
        <v>58.32</v>
      </c>
      <c r="G212" s="25" t="str">
        <f>Source!DE125</f>
        <v/>
      </c>
      <c r="H212" s="23">
        <f>Source!AV125</f>
        <v>1</v>
      </c>
      <c r="I212" s="27">
        <f>ROUND((Source!AD125*Source!AV125)*Source!I125, 2)</f>
        <v>1323.11</v>
      </c>
      <c r="J212" s="23">
        <f>IF(Source!BB125&lt;&gt; 0, Source!BB125, 1)</f>
        <v>7.62</v>
      </c>
      <c r="K212" s="27">
        <f>Source!Q125</f>
        <v>10082.07</v>
      </c>
    </row>
    <row r="213" spans="1:32" ht="15" x14ac:dyDescent="0.25">
      <c r="A213" s="41"/>
      <c r="B213" s="41"/>
      <c r="C213" s="41"/>
      <c r="D213" s="41"/>
      <c r="E213" s="41"/>
      <c r="F213" s="41"/>
      <c r="G213" s="41"/>
      <c r="H213" s="68">
        <f>I212</f>
        <v>1323.11</v>
      </c>
      <c r="I213" s="68"/>
      <c r="J213" s="68">
        <f>K212</f>
        <v>10082.07</v>
      </c>
      <c r="K213" s="68"/>
      <c r="O213" s="42">
        <f>H213</f>
        <v>1323.11</v>
      </c>
      <c r="P213" s="42">
        <f>J213</f>
        <v>10082.07</v>
      </c>
      <c r="X213" s="37">
        <f>IF(Source!BI125&lt;=1,I212, 0)</f>
        <v>0</v>
      </c>
      <c r="Y213" s="37">
        <f>IF(Source!BI125=2,I212, 0)</f>
        <v>0</v>
      </c>
      <c r="Z213" s="37">
        <f>IF(Source!BI125=3,I212, 0)</f>
        <v>0</v>
      </c>
      <c r="AA213" s="37">
        <f>IF(Source!BI125=4,I212, 0)</f>
        <v>1323.11</v>
      </c>
    </row>
    <row r="214" spans="1:32" ht="28.5" x14ac:dyDescent="0.2">
      <c r="A214" s="21" t="str">
        <f>Source!E126</f>
        <v>26</v>
      </c>
      <c r="B214" s="22" t="str">
        <f>Source!F126</f>
        <v>15.1-0-1</v>
      </c>
      <c r="C214" s="22" t="str">
        <f>Source!G126</f>
        <v>СОДЕРЖАНИЕ СВАЛКИ ОТХОДОВ СТРОИТЕЛЬСТВА И СНОСА</v>
      </c>
      <c r="D214" s="24" t="str">
        <f>Source!H126</f>
        <v>т</v>
      </c>
      <c r="E214" s="23">
        <f>Source!I126</f>
        <v>22.687000000000001</v>
      </c>
      <c r="F214" s="26"/>
      <c r="G214" s="25"/>
      <c r="H214" s="23"/>
      <c r="I214" s="27"/>
      <c r="J214" s="23"/>
      <c r="K214" s="27"/>
      <c r="Q214" s="37">
        <f>ROUND((Source!DN126/100)*ROUND((Source!AF126*Source!AV126)*Source!I126, 2), 2)</f>
        <v>0</v>
      </c>
      <c r="R214" s="37">
        <f>Source!X126</f>
        <v>0</v>
      </c>
      <c r="S214" s="37">
        <f>ROUND((Source!DO126/100)*ROUND((Source!AF126*Source!AV126)*Source!I126, 2), 2)</f>
        <v>0</v>
      </c>
      <c r="T214" s="37">
        <f>Source!Y126</f>
        <v>0</v>
      </c>
      <c r="U214" s="37">
        <f>ROUND((175/100)*ROUND((Source!AE126*Source!AV126)*Source!I126, 2), 2)</f>
        <v>0</v>
      </c>
      <c r="V214" s="37">
        <f>ROUND((167/100)*ROUND(Source!CS126*Source!I126, 2), 2)</f>
        <v>0</v>
      </c>
    </row>
    <row r="215" spans="1:32" ht="14.25" x14ac:dyDescent="0.2">
      <c r="A215" s="21"/>
      <c r="B215" s="22"/>
      <c r="C215" s="22" t="s">
        <v>451</v>
      </c>
      <c r="D215" s="24"/>
      <c r="E215" s="23"/>
      <c r="F215" s="26">
        <f>Source!AM126</f>
        <v>101</v>
      </c>
      <c r="G215" s="25" t="str">
        <f>Source!DE126</f>
        <v/>
      </c>
      <c r="H215" s="23">
        <f>Source!AV126</f>
        <v>1</v>
      </c>
      <c r="I215" s="27">
        <f>ROUND((Source!AD126*Source!AV126)*Source!I126, 2)</f>
        <v>2291.39</v>
      </c>
      <c r="J215" s="23">
        <f>IF(Source!BB126&lt;&gt; 0, Source!BB126, 1)</f>
        <v>2.0099999999999998</v>
      </c>
      <c r="K215" s="27">
        <f>Source!Q126</f>
        <v>4605.6899999999996</v>
      </c>
    </row>
    <row r="216" spans="1:32" ht="15" x14ac:dyDescent="0.25">
      <c r="A216" s="41"/>
      <c r="B216" s="41"/>
      <c r="C216" s="41"/>
      <c r="D216" s="41"/>
      <c r="E216" s="41"/>
      <c r="F216" s="41"/>
      <c r="G216" s="41"/>
      <c r="H216" s="68">
        <f>I215</f>
        <v>2291.39</v>
      </c>
      <c r="I216" s="68"/>
      <c r="J216" s="68">
        <f>K215</f>
        <v>4605.6899999999996</v>
      </c>
      <c r="K216" s="68"/>
      <c r="O216" s="42">
        <f>H216</f>
        <v>2291.39</v>
      </c>
      <c r="P216" s="42">
        <f>J216</f>
        <v>4605.6899999999996</v>
      </c>
      <c r="X216" s="37">
        <f>IF(Source!BI126&lt;=1,I215, 0)</f>
        <v>0</v>
      </c>
      <c r="Y216" s="37">
        <f>IF(Source!BI126=2,I215, 0)</f>
        <v>0</v>
      </c>
      <c r="Z216" s="37">
        <f>IF(Source!BI126=3,I215, 0)</f>
        <v>0</v>
      </c>
      <c r="AA216" s="37">
        <f>IF(Source!BI126=4,I215, 0)</f>
        <v>2291.39</v>
      </c>
    </row>
    <row r="218" spans="1:32" ht="15" x14ac:dyDescent="0.25">
      <c r="A218" s="58" t="str">
        <f>CONCATENATE("Итого по разделу: ",IF(Source!G128&lt;&gt;"Новый раздел", Source!G128, ""))</f>
        <v>Итого по разделу: Тепловая камера (реконструкция) 5,2х4,6х2,5</v>
      </c>
      <c r="B218" s="58"/>
      <c r="C218" s="58"/>
      <c r="D218" s="58"/>
      <c r="E218" s="58"/>
      <c r="F218" s="58"/>
      <c r="G218" s="58"/>
      <c r="H218" s="59">
        <f>SUM(O146:O217)</f>
        <v>73489.649999999994</v>
      </c>
      <c r="I218" s="57"/>
      <c r="J218" s="59">
        <f>SUM(P146:P217)</f>
        <v>588196.45999999985</v>
      </c>
      <c r="K218" s="57"/>
      <c r="AF218" s="35" t="str">
        <f>CONCATENATE("Итого по разделу: ",IF(Source!G128&lt;&gt;"Новый раздел", Source!G128, ""))</f>
        <v>Итого по разделу: Тепловая камера (реконструкция) 5,2х4,6х2,5</v>
      </c>
    </row>
    <row r="221" spans="1:32" ht="16.5" x14ac:dyDescent="0.25">
      <c r="A221" s="67" t="str">
        <f>CONCATENATE("Раздел: ",IF(Source!G154&lt;&gt;"Новый раздел", Source!G154, ""))</f>
        <v>Раздел: Байпасы: 2Ду400 - 18 п.м; 2Ду200 - 12 п.м</v>
      </c>
      <c r="B221" s="67"/>
      <c r="C221" s="67"/>
      <c r="D221" s="67"/>
      <c r="E221" s="67"/>
      <c r="F221" s="67"/>
      <c r="G221" s="67"/>
      <c r="H221" s="67"/>
      <c r="I221" s="67"/>
      <c r="J221" s="67"/>
      <c r="K221" s="67"/>
      <c r="AE221" s="20" t="str">
        <f>CONCATENATE("Раздел: ",IF(Source!G154&lt;&gt;"Новый раздел", Source!G154, ""))</f>
        <v>Раздел: Байпасы: 2Ду400 - 18 п.м; 2Ду200 - 12 п.м</v>
      </c>
    </row>
    <row r="222" spans="1:32" ht="57" x14ac:dyDescent="0.2">
      <c r="A222" s="21" t="str">
        <f>Source!E158</f>
        <v>27</v>
      </c>
      <c r="B222" s="22" t="str">
        <f>Source!F158</f>
        <v>16.1-3030-5</v>
      </c>
      <c r="C222" s="22" t="str">
        <f>Source!G158</f>
        <v>НАЗЕМНАЯ ПРОКЛАДКА ТЕПЛОВЫХ СЕТЕЙ ИЗ СТАЛЬНЫХ ЭЛЕКТРОСВАРНЫХ ТРУБ ДИАМЕТРОМ 400ММ</v>
      </c>
      <c r="D222" s="24" t="str">
        <f>Source!H158</f>
        <v>м</v>
      </c>
      <c r="E222" s="23">
        <f>Source!I158</f>
        <v>18</v>
      </c>
      <c r="F222" s="26"/>
      <c r="G222" s="25"/>
      <c r="H222" s="23"/>
      <c r="I222" s="27"/>
      <c r="J222" s="23"/>
      <c r="K222" s="27"/>
      <c r="Q222" s="37">
        <f>ROUND((Source!DN158/100)*ROUND((Source!AF158*Source!AV158)*Source!I158, 2), 2)</f>
        <v>0</v>
      </c>
      <c r="R222" s="37">
        <f>Source!X158</f>
        <v>0</v>
      </c>
      <c r="S222" s="37">
        <f>ROUND((Source!DO158/100)*ROUND((Source!AF158*Source!AV158)*Source!I158, 2), 2)</f>
        <v>0</v>
      </c>
      <c r="T222" s="37">
        <f>Source!Y158</f>
        <v>0</v>
      </c>
      <c r="U222" s="37">
        <f>ROUND((175/100)*ROUND((Source!AE158*Source!AV158)*Source!I158, 2), 2)</f>
        <v>0</v>
      </c>
      <c r="V222" s="37">
        <f>ROUND((167/100)*ROUND(Source!CS158*Source!I158, 2), 2)</f>
        <v>0</v>
      </c>
    </row>
    <row r="223" spans="1:32" ht="14.25" x14ac:dyDescent="0.2">
      <c r="A223" s="21"/>
      <c r="B223" s="22"/>
      <c r="C223" s="22" t="s">
        <v>443</v>
      </c>
      <c r="D223" s="24"/>
      <c r="E223" s="23"/>
      <c r="F223" s="26"/>
      <c r="G223" s="25"/>
      <c r="H223" s="23"/>
      <c r="I223" s="27">
        <f>I224+I225+I226+I227</f>
        <v>54071.1</v>
      </c>
      <c r="J223" s="23"/>
      <c r="K223" s="27">
        <f>K224+K225+K226+K227</f>
        <v>418970.38</v>
      </c>
    </row>
    <row r="224" spans="1:32" ht="14.25" x14ac:dyDescent="0.2">
      <c r="A224" s="21"/>
      <c r="B224" s="22"/>
      <c r="C224" s="22" t="s">
        <v>444</v>
      </c>
      <c r="D224" s="24"/>
      <c r="E224" s="23"/>
      <c r="F224" s="26">
        <f>Source!AO158</f>
        <v>783</v>
      </c>
      <c r="G224" s="25" t="str">
        <f>Source!DG158</f>
        <v>*1,15</v>
      </c>
      <c r="H224" s="23">
        <f>Source!AV158</f>
        <v>1</v>
      </c>
      <c r="I224" s="27">
        <f>ROUND((Source!AF158*Source!AV158)*Source!I158, 2)</f>
        <v>16208.1</v>
      </c>
      <c r="J224" s="23">
        <f>IF(Source!BA158&lt;&gt; 0, Source!BA158, 1)</f>
        <v>14.36</v>
      </c>
      <c r="K224" s="27">
        <f>Source!S158</f>
        <v>232748.32</v>
      </c>
      <c r="W224" s="37">
        <f>ROUND((Source!AF158*Source!AV158)*Source!I158, 2)</f>
        <v>16208.1</v>
      </c>
    </row>
    <row r="225" spans="1:27" ht="14.25" x14ac:dyDescent="0.2">
      <c r="A225" s="21"/>
      <c r="B225" s="22"/>
      <c r="C225" s="22" t="s">
        <v>445</v>
      </c>
      <c r="D225" s="24"/>
      <c r="E225" s="23"/>
      <c r="F225" s="26">
        <f>Source!AM158</f>
        <v>170</v>
      </c>
      <c r="G225" s="25" t="str">
        <f>Source!DE158</f>
        <v>*1,15</v>
      </c>
      <c r="H225" s="23">
        <f>Source!AV158</f>
        <v>1</v>
      </c>
      <c r="I225" s="27">
        <f>ROUND((Source!AD158*Source!AV158)*Source!I158, 2)</f>
        <v>3519</v>
      </c>
      <c r="J225" s="23">
        <f>IF(Source!BB158&lt;&gt; 0, Source!BB158, 1)</f>
        <v>10.66</v>
      </c>
      <c r="K225" s="27">
        <f>Source!Q158</f>
        <v>37512.54</v>
      </c>
    </row>
    <row r="226" spans="1:27" ht="14.25" x14ac:dyDescent="0.2">
      <c r="A226" s="21"/>
      <c r="B226" s="22"/>
      <c r="C226" s="22" t="s">
        <v>446</v>
      </c>
      <c r="D226" s="24"/>
      <c r="E226" s="23"/>
      <c r="F226" s="26">
        <f>Source!AL158</f>
        <v>1908</v>
      </c>
      <c r="G226" s="25" t="str">
        <f>Source!DD158</f>
        <v/>
      </c>
      <c r="H226" s="23">
        <f>Source!AW158</f>
        <v>1</v>
      </c>
      <c r="I226" s="27">
        <f>ROUND((Source!AC158*Source!AW158)*Source!I158, 2)</f>
        <v>34344</v>
      </c>
      <c r="J226" s="23">
        <f>IF(Source!BC158&lt;&gt; 0, Source!BC158, 1)</f>
        <v>4.33</v>
      </c>
      <c r="K226" s="27">
        <f>Source!P158</f>
        <v>148709.51999999999</v>
      </c>
    </row>
    <row r="227" spans="1:27" ht="14.25" x14ac:dyDescent="0.2">
      <c r="A227" s="21"/>
      <c r="B227" s="22"/>
      <c r="C227" s="22" t="s">
        <v>120</v>
      </c>
      <c r="D227" s="24"/>
      <c r="E227" s="23"/>
      <c r="F227" s="26">
        <f>Source!GT158</f>
        <v>0</v>
      </c>
      <c r="G227" s="25"/>
      <c r="H227" s="23"/>
      <c r="I227" s="27">
        <f>Source!GT158*Source!I158</f>
        <v>0</v>
      </c>
      <c r="J227" s="23">
        <f>IF(Source!GU158&lt;&gt; 0, Source!GU158, 1)</f>
        <v>1</v>
      </c>
      <c r="K227" s="27">
        <f>Source!GT158*Source!GU158*Source!I158</f>
        <v>0</v>
      </c>
    </row>
    <row r="228" spans="1:27" ht="14.25" x14ac:dyDescent="0.2">
      <c r="A228" s="29"/>
      <c r="B228" s="30"/>
      <c r="C228" s="30" t="s">
        <v>448</v>
      </c>
      <c r="D228" s="24"/>
      <c r="E228" s="31"/>
      <c r="F228" s="32">
        <f>Source!GV158</f>
        <v>0</v>
      </c>
      <c r="G228" s="24"/>
      <c r="H228" s="31"/>
      <c r="I228" s="33"/>
      <c r="J228" s="31"/>
      <c r="K228" s="33">
        <f>Source!GV158*Source!I158</f>
        <v>0</v>
      </c>
    </row>
    <row r="229" spans="1:27" ht="14.25" x14ac:dyDescent="0.2">
      <c r="A229" s="29"/>
      <c r="B229" s="30"/>
      <c r="C229" s="30" t="s">
        <v>449</v>
      </c>
      <c r="D229" s="24"/>
      <c r="E229" s="31"/>
      <c r="F229" s="32">
        <f>Source!GW158</f>
        <v>0</v>
      </c>
      <c r="G229" s="24"/>
      <c r="H229" s="31"/>
      <c r="I229" s="33"/>
      <c r="J229" s="31"/>
      <c r="K229" s="33">
        <f>Source!GW158*Source!I158</f>
        <v>0</v>
      </c>
    </row>
    <row r="230" spans="1:27" ht="15" x14ac:dyDescent="0.25">
      <c r="A230" s="41"/>
      <c r="B230" s="41"/>
      <c r="C230" s="41"/>
      <c r="D230" s="41"/>
      <c r="E230" s="41"/>
      <c r="F230" s="41"/>
      <c r="G230" s="41"/>
      <c r="H230" s="68">
        <f>I224+I225+I226+I227</f>
        <v>54071.1</v>
      </c>
      <c r="I230" s="68"/>
      <c r="J230" s="68">
        <f>K224+K225+K226+K227</f>
        <v>418970.38</v>
      </c>
      <c r="K230" s="68"/>
      <c r="O230" s="42">
        <f>H230</f>
        <v>54071.1</v>
      </c>
      <c r="P230" s="42">
        <f>J230</f>
        <v>418970.38</v>
      </c>
      <c r="X230" s="37">
        <f>IF(Source!BI158&lt;=1,I224+I225+I226+I227, 0)</f>
        <v>54071.1</v>
      </c>
      <c r="Y230" s="37">
        <f>IF(Source!BI158=2,I224+I225+I226+I227, 0)</f>
        <v>0</v>
      </c>
      <c r="Z230" s="37">
        <f>IF(Source!BI158=3,I224+I225+I226+I227, 0)</f>
        <v>0</v>
      </c>
      <c r="AA230" s="37">
        <f>IF(Source!BI158=4,I224+I225+I226+I227, 0)</f>
        <v>0</v>
      </c>
    </row>
    <row r="231" spans="1:27" ht="69.75" x14ac:dyDescent="0.2">
      <c r="A231" s="21" t="str">
        <f>Source!E159</f>
        <v>28</v>
      </c>
      <c r="B231" s="22" t="str">
        <f>Source!F159</f>
        <v>16.1-2601-2</v>
      </c>
      <c r="C231" s="22" t="s">
        <v>464</v>
      </c>
      <c r="D231" s="24" t="str">
        <f>Source!H159</f>
        <v>камера</v>
      </c>
      <c r="E231" s="23">
        <f>Source!I159</f>
        <v>2</v>
      </c>
      <c r="F231" s="26"/>
      <c r="G231" s="25"/>
      <c r="H231" s="23"/>
      <c r="I231" s="27"/>
      <c r="J231" s="23"/>
      <c r="K231" s="27"/>
      <c r="Q231" s="37">
        <f>ROUND((Source!DN159/100)*ROUND((Source!AF159*Source!AV159)*Source!I159, 2), 2)</f>
        <v>0</v>
      </c>
      <c r="R231" s="37">
        <f>Source!X159</f>
        <v>0</v>
      </c>
      <c r="S231" s="37">
        <f>ROUND((Source!DO159/100)*ROUND((Source!AF159*Source!AV159)*Source!I159, 2), 2)</f>
        <v>0</v>
      </c>
      <c r="T231" s="37">
        <f>Source!Y159</f>
        <v>0</v>
      </c>
      <c r="U231" s="37">
        <f>ROUND((175/100)*ROUND((Source!AE159*Source!AV159)*Source!I159, 2), 2)</f>
        <v>0</v>
      </c>
      <c r="V231" s="37">
        <f>ROUND((167/100)*ROUND(Source!CS159*Source!I159, 2), 2)</f>
        <v>0</v>
      </c>
    </row>
    <row r="232" spans="1:27" ht="14.25" x14ac:dyDescent="0.2">
      <c r="A232" s="21"/>
      <c r="B232" s="22"/>
      <c r="C232" s="22" t="s">
        <v>443</v>
      </c>
      <c r="D232" s="24"/>
      <c r="E232" s="23"/>
      <c r="F232" s="26"/>
      <c r="G232" s="25"/>
      <c r="H232" s="23"/>
      <c r="I232" s="27">
        <f>I233+I234+I235+I236+SUM(I237:I238)</f>
        <v>86608.71</v>
      </c>
      <c r="J232" s="23"/>
      <c r="K232" s="27">
        <f>K233+K234+K235+K236+SUM(K237:K238)</f>
        <v>651746.75</v>
      </c>
    </row>
    <row r="233" spans="1:27" ht="14.25" x14ac:dyDescent="0.2">
      <c r="A233" s="21"/>
      <c r="B233" s="22"/>
      <c r="C233" s="22" t="s">
        <v>444</v>
      </c>
      <c r="D233" s="24"/>
      <c r="E233" s="23"/>
      <c r="F233" s="26">
        <f>Source!AO159</f>
        <v>5941</v>
      </c>
      <c r="G233" s="25" t="str">
        <f>Source!DG159</f>
        <v>*1,15*0,92</v>
      </c>
      <c r="H233" s="23">
        <f>Source!AV159</f>
        <v>1</v>
      </c>
      <c r="I233" s="27">
        <f>ROUND((Source!AF159*Source!AV159)*Source!I159, 2)</f>
        <v>12571.16</v>
      </c>
      <c r="J233" s="23">
        <f>IF(Source!BA159&lt;&gt; 0, Source!BA159, 1)</f>
        <v>15.54</v>
      </c>
      <c r="K233" s="27">
        <f>Source!S159</f>
        <v>195355.76</v>
      </c>
      <c r="W233" s="37">
        <f>ROUND((Source!AF159*Source!AV159)*Source!I159, 2)</f>
        <v>12571.16</v>
      </c>
    </row>
    <row r="234" spans="1:27" ht="14.25" x14ac:dyDescent="0.2">
      <c r="A234" s="21"/>
      <c r="B234" s="22"/>
      <c r="C234" s="22" t="s">
        <v>445</v>
      </c>
      <c r="D234" s="24"/>
      <c r="E234" s="23"/>
      <c r="F234" s="26">
        <f>Source!AM159</f>
        <v>2012</v>
      </c>
      <c r="G234" s="25" t="str">
        <f>Source!DE159</f>
        <v>*1,15*0,92</v>
      </c>
      <c r="H234" s="23">
        <f>Source!AV159</f>
        <v>1</v>
      </c>
      <c r="I234" s="27">
        <f>ROUND((Source!AD159*Source!AV159)*Source!I159, 2)</f>
        <v>4257.3900000000003</v>
      </c>
      <c r="J234" s="23">
        <f>IF(Source!BB159&lt;&gt; 0, Source!BB159, 1)</f>
        <v>11.48</v>
      </c>
      <c r="K234" s="27">
        <f>Source!Q159</f>
        <v>48874.86</v>
      </c>
    </row>
    <row r="235" spans="1:27" ht="14.25" x14ac:dyDescent="0.2">
      <c r="A235" s="21"/>
      <c r="B235" s="22"/>
      <c r="C235" s="22" t="s">
        <v>446</v>
      </c>
      <c r="D235" s="24"/>
      <c r="E235" s="23"/>
      <c r="F235" s="26">
        <f>Source!AL159</f>
        <v>37924</v>
      </c>
      <c r="G235" s="25" t="str">
        <f>Source!DD159</f>
        <v>*0,92</v>
      </c>
      <c r="H235" s="23">
        <f>Source!AW159</f>
        <v>1</v>
      </c>
      <c r="I235" s="27">
        <f>ROUND((Source!AC159*Source!AW159)*Source!I159, 2)</f>
        <v>69780.160000000003</v>
      </c>
      <c r="J235" s="23">
        <f>IF(Source!BC159&lt;&gt; 0, Source!BC159, 1)</f>
        <v>5.84</v>
      </c>
      <c r="K235" s="27">
        <f>Source!P159</f>
        <v>407516.13</v>
      </c>
    </row>
    <row r="236" spans="1:27" ht="14.25" x14ac:dyDescent="0.2">
      <c r="A236" s="21"/>
      <c r="B236" s="22"/>
      <c r="C236" s="22" t="s">
        <v>120</v>
      </c>
      <c r="D236" s="24"/>
      <c r="E236" s="23"/>
      <c r="F236" s="26">
        <f>Source!GT159</f>
        <v>0</v>
      </c>
      <c r="G236" s="25"/>
      <c r="H236" s="23"/>
      <c r="I236" s="27">
        <f>Source!GT159*Source!I159</f>
        <v>0</v>
      </c>
      <c r="J236" s="23">
        <f>IF(Source!GU159&lt;&gt; 0, Source!GU159, 1)</f>
        <v>5.68</v>
      </c>
      <c r="K236" s="27">
        <f>Source!GT159*Source!GU159*Source!I159</f>
        <v>0</v>
      </c>
    </row>
    <row r="237" spans="1:27" ht="14.25" x14ac:dyDescent="0.2">
      <c r="A237" s="21" t="str">
        <f>Source!E160</f>
        <v>28,1</v>
      </c>
      <c r="B237" s="22" t="str">
        <f>Source!F160</f>
        <v>0.0-0-0</v>
      </c>
      <c r="C237" s="22" t="str">
        <f>Source!G160</f>
        <v>МАССА МУСОРА</v>
      </c>
      <c r="D237" s="24" t="str">
        <f>Source!H160</f>
        <v>т</v>
      </c>
      <c r="E237" s="23">
        <f>Source!I160</f>
        <v>-0.43338599999999999</v>
      </c>
      <c r="F237" s="26">
        <f>Source!AK160</f>
        <v>0</v>
      </c>
      <c r="G237" s="28" t="s">
        <v>465</v>
      </c>
      <c r="H237" s="23">
        <f>Source!AW160</f>
        <v>1</v>
      </c>
      <c r="I237" s="27">
        <f>ROUND((Source!AC160*Source!AW160)*Source!I160, 2)+ROUND((Source!AD160*Source!AV160)*Source!I160, 2)+ROUND((Source!AF160*Source!AV160)*Source!I160, 2)</f>
        <v>0</v>
      </c>
      <c r="J237" s="23">
        <f>IF(Source!BC160&lt;&gt; 0, Source!BC160, 1)</f>
        <v>1</v>
      </c>
      <c r="K237" s="27">
        <f>Source!O160</f>
        <v>0</v>
      </c>
      <c r="Q237" s="37">
        <f>ROUND((Source!DN160/100)*ROUND((Source!AF160*Source!AV160)*Source!I160, 2), 2)</f>
        <v>0</v>
      </c>
      <c r="R237" s="37">
        <f>Source!X160</f>
        <v>0</v>
      </c>
      <c r="S237" s="37">
        <f>ROUND((Source!DO160/100)*ROUND((Source!AF160*Source!AV160)*Source!I160, 2), 2)</f>
        <v>0</v>
      </c>
      <c r="T237" s="37">
        <f>Source!Y160</f>
        <v>0</v>
      </c>
      <c r="U237" s="37">
        <f>ROUND((175/100)*ROUND((Source!AE160*Source!AV160)*Source!I160, 2), 2)</f>
        <v>0</v>
      </c>
      <c r="V237" s="37">
        <f>ROUND((167/100)*ROUND(Source!CS160*Source!I160, 2), 2)</f>
        <v>0</v>
      </c>
      <c r="X237" s="37">
        <f>IF(Source!BI160&lt;=1,I237, 0)</f>
        <v>0</v>
      </c>
      <c r="Y237" s="37">
        <f>IF(Source!BI160=2,I237, 0)</f>
        <v>0</v>
      </c>
      <c r="Z237" s="37">
        <f>IF(Source!BI160=3,I237, 0)</f>
        <v>0</v>
      </c>
      <c r="AA237" s="37">
        <f>IF(Source!BI160=4,I237, 0)</f>
        <v>0</v>
      </c>
    </row>
    <row r="238" spans="1:27" ht="14.25" x14ac:dyDescent="0.2">
      <c r="A238" s="21" t="str">
        <f>Source!E161</f>
        <v>28,2</v>
      </c>
      <c r="B238" s="22" t="str">
        <f>Source!F161</f>
        <v>0.0-0-0</v>
      </c>
      <c r="C238" s="22" t="str">
        <f>Source!G161</f>
        <v>ОБЪЕМ ГРУНТА</v>
      </c>
      <c r="D238" s="24" t="str">
        <f>Source!H161</f>
        <v>м3</v>
      </c>
      <c r="E238" s="23">
        <f>Source!I161</f>
        <v>-30.865870999999999</v>
      </c>
      <c r="F238" s="26">
        <f>Source!AK161</f>
        <v>0</v>
      </c>
      <c r="G238" s="28" t="s">
        <v>465</v>
      </c>
      <c r="H238" s="23">
        <f>Source!AW161</f>
        <v>1</v>
      </c>
      <c r="I238" s="27">
        <f>ROUND((Source!AC161*Source!AW161)*Source!I161, 2)+ROUND((Source!AD161*Source!AV161)*Source!I161, 2)+ROUND((Source!AF161*Source!AV161)*Source!I161, 2)</f>
        <v>0</v>
      </c>
      <c r="J238" s="23">
        <f>IF(Source!BC161&lt;&gt; 0, Source!BC161, 1)</f>
        <v>1</v>
      </c>
      <c r="K238" s="27">
        <f>Source!O161</f>
        <v>0</v>
      </c>
      <c r="Q238" s="37">
        <f>ROUND((Source!DN161/100)*ROUND((Source!AF161*Source!AV161)*Source!I161, 2), 2)</f>
        <v>0</v>
      </c>
      <c r="R238" s="37">
        <f>Source!X161</f>
        <v>0</v>
      </c>
      <c r="S238" s="37">
        <f>ROUND((Source!DO161/100)*ROUND((Source!AF161*Source!AV161)*Source!I161, 2), 2)</f>
        <v>0</v>
      </c>
      <c r="T238" s="37">
        <f>Source!Y161</f>
        <v>0</v>
      </c>
      <c r="U238" s="37">
        <f>ROUND((175/100)*ROUND((Source!AE161*Source!AV161)*Source!I161, 2), 2)</f>
        <v>0</v>
      </c>
      <c r="V238" s="37">
        <f>ROUND((167/100)*ROUND(Source!CS161*Source!I161, 2), 2)</f>
        <v>0</v>
      </c>
      <c r="X238" s="37">
        <f>IF(Source!BI161&lt;=1,I238, 0)</f>
        <v>0</v>
      </c>
      <c r="Y238" s="37">
        <f>IF(Source!BI161=2,I238, 0)</f>
        <v>0</v>
      </c>
      <c r="Z238" s="37">
        <f>IF(Source!BI161=3,I238, 0)</f>
        <v>0</v>
      </c>
      <c r="AA238" s="37">
        <f>IF(Source!BI161=4,I238, 0)</f>
        <v>0</v>
      </c>
    </row>
    <row r="239" spans="1:27" ht="14.25" x14ac:dyDescent="0.2">
      <c r="A239" s="29"/>
      <c r="B239" s="30"/>
      <c r="C239" s="30" t="s">
        <v>448</v>
      </c>
      <c r="D239" s="24"/>
      <c r="E239" s="31"/>
      <c r="F239" s="32">
        <f>Source!GV159</f>
        <v>-16.774929999999998</v>
      </c>
      <c r="G239" s="24"/>
      <c r="H239" s="31"/>
      <c r="I239" s="33"/>
      <c r="J239" s="31"/>
      <c r="K239" s="33">
        <f>Source!GV159*Source!I159</f>
        <v>-33.549859999999995</v>
      </c>
    </row>
    <row r="240" spans="1:27" ht="14.25" x14ac:dyDescent="0.2">
      <c r="A240" s="29"/>
      <c r="B240" s="30"/>
      <c r="C240" s="30" t="s">
        <v>449</v>
      </c>
      <c r="D240" s="24"/>
      <c r="E240" s="31"/>
      <c r="F240" s="32">
        <f>Source!GW159</f>
        <v>-0.235536</v>
      </c>
      <c r="G240" s="24"/>
      <c r="H240" s="31"/>
      <c r="I240" s="33"/>
      <c r="J240" s="31"/>
      <c r="K240" s="33">
        <f>Source!GW159*Source!I159</f>
        <v>-0.47107199999999999</v>
      </c>
    </row>
    <row r="241" spans="1:27" ht="15" x14ac:dyDescent="0.25">
      <c r="A241" s="41"/>
      <c r="B241" s="41"/>
      <c r="C241" s="41"/>
      <c r="D241" s="41"/>
      <c r="E241" s="41"/>
      <c r="F241" s="41"/>
      <c r="G241" s="41"/>
      <c r="H241" s="68">
        <f>I233+I234+I235+I236+SUM(I237:I238)</f>
        <v>86608.71</v>
      </c>
      <c r="I241" s="68"/>
      <c r="J241" s="68">
        <f>K233+K234+K235+K236+SUM(K237:K238)</f>
        <v>651746.75</v>
      </c>
      <c r="K241" s="68"/>
      <c r="O241" s="42">
        <f>H241</f>
        <v>86608.71</v>
      </c>
      <c r="P241" s="42">
        <f>J241</f>
        <v>651746.75</v>
      </c>
      <c r="X241" s="37">
        <f>IF(Source!BI159&lt;=1,I233+I234+I235+I236, 0)</f>
        <v>86608.71</v>
      </c>
      <c r="Y241" s="37">
        <f>IF(Source!BI159=2,I233+I234+I235+I236, 0)</f>
        <v>0</v>
      </c>
      <c r="Z241" s="37">
        <f>IF(Source!BI159=3,I233+I234+I235+I236, 0)</f>
        <v>0</v>
      </c>
      <c r="AA241" s="37">
        <f>IF(Source!BI159=4,I233+I234+I235+I236, 0)</f>
        <v>0</v>
      </c>
    </row>
    <row r="242" spans="1:27" ht="55.5" x14ac:dyDescent="0.2">
      <c r="A242" s="21" t="str">
        <f>Source!E162</f>
        <v>29</v>
      </c>
      <c r="B242" s="22" t="str">
        <f>Source!F162</f>
        <v>16.1-2603-1</v>
      </c>
      <c r="C242" s="22" t="s">
        <v>466</v>
      </c>
      <c r="D242" s="24" t="str">
        <f>Source!H162</f>
        <v>узел</v>
      </c>
      <c r="E242" s="23">
        <f>Source!I162</f>
        <v>2</v>
      </c>
      <c r="F242" s="26"/>
      <c r="G242" s="25"/>
      <c r="H242" s="23"/>
      <c r="I242" s="27"/>
      <c r="J242" s="23"/>
      <c r="K242" s="27"/>
      <c r="Q242" s="37">
        <f>ROUND((Source!DN162/100)*ROUND((Source!AF162*Source!AV162)*Source!I162, 2), 2)</f>
        <v>0</v>
      </c>
      <c r="R242" s="37">
        <f>Source!X162</f>
        <v>0</v>
      </c>
      <c r="S242" s="37">
        <f>ROUND((Source!DO162/100)*ROUND((Source!AF162*Source!AV162)*Source!I162, 2), 2)</f>
        <v>0</v>
      </c>
      <c r="T242" s="37">
        <f>Source!Y162</f>
        <v>0</v>
      </c>
      <c r="U242" s="37">
        <f>ROUND((175/100)*ROUND((Source!AE162*Source!AV162)*Source!I162, 2), 2)</f>
        <v>0</v>
      </c>
      <c r="V242" s="37">
        <f>ROUND((167/100)*ROUND(Source!CS162*Source!I162, 2), 2)</f>
        <v>0</v>
      </c>
    </row>
    <row r="243" spans="1:27" ht="14.25" x14ac:dyDescent="0.2">
      <c r="A243" s="21"/>
      <c r="B243" s="22"/>
      <c r="C243" s="22" t="s">
        <v>443</v>
      </c>
      <c r="D243" s="24"/>
      <c r="E243" s="23"/>
      <c r="F243" s="26"/>
      <c r="G243" s="25"/>
      <c r="H243" s="23"/>
      <c r="I243" s="27">
        <f>I244+I245+I246+I247</f>
        <v>64728.81</v>
      </c>
      <c r="J243" s="23"/>
      <c r="K243" s="27">
        <f>K244+K245+K246+K247</f>
        <v>470508.85</v>
      </c>
    </row>
    <row r="244" spans="1:27" ht="14.25" x14ac:dyDescent="0.2">
      <c r="A244" s="21"/>
      <c r="B244" s="22"/>
      <c r="C244" s="22" t="s">
        <v>444</v>
      </c>
      <c r="D244" s="24"/>
      <c r="E244" s="23"/>
      <c r="F244" s="26">
        <f>Source!AO162</f>
        <v>7504</v>
      </c>
      <c r="G244" s="25" t="str">
        <f>Source!DG162</f>
        <v>*1,15*0,73</v>
      </c>
      <c r="H244" s="23">
        <f>Source!AV162</f>
        <v>1</v>
      </c>
      <c r="I244" s="27">
        <f>ROUND((Source!AF162*Source!AV162)*Source!I162, 2)</f>
        <v>12599.22</v>
      </c>
      <c r="J244" s="23">
        <f>IF(Source!BA162&lt;&gt; 0, Source!BA162, 1)</f>
        <v>13.8</v>
      </c>
      <c r="K244" s="27">
        <f>Source!S162</f>
        <v>173869.18</v>
      </c>
      <c r="W244" s="37">
        <f>ROUND((Source!AF162*Source!AV162)*Source!I162, 2)</f>
        <v>12599.22</v>
      </c>
    </row>
    <row r="245" spans="1:27" ht="14.25" x14ac:dyDescent="0.2">
      <c r="A245" s="21"/>
      <c r="B245" s="22"/>
      <c r="C245" s="22" t="s">
        <v>445</v>
      </c>
      <c r="D245" s="24"/>
      <c r="E245" s="23"/>
      <c r="F245" s="26">
        <f>Source!AM162</f>
        <v>5018</v>
      </c>
      <c r="G245" s="25" t="str">
        <f>Source!DE162</f>
        <v>*1,15*0,65</v>
      </c>
      <c r="H245" s="23">
        <f>Source!AV162</f>
        <v>1</v>
      </c>
      <c r="I245" s="27">
        <f>ROUND((Source!AD162*Source!AV162)*Source!I162, 2)</f>
        <v>7501.91</v>
      </c>
      <c r="J245" s="23">
        <f>IF(Source!BB162&lt;&gt; 0, Source!BB162, 1)</f>
        <v>10.69</v>
      </c>
      <c r="K245" s="27">
        <f>Source!Q162</f>
        <v>80195.42</v>
      </c>
    </row>
    <row r="246" spans="1:27" ht="14.25" x14ac:dyDescent="0.2">
      <c r="A246" s="21"/>
      <c r="B246" s="22"/>
      <c r="C246" s="22" t="s">
        <v>446</v>
      </c>
      <c r="D246" s="24"/>
      <c r="E246" s="23"/>
      <c r="F246" s="26">
        <f>Source!AL162</f>
        <v>27212</v>
      </c>
      <c r="G246" s="25" t="str">
        <f>Source!DD162</f>
        <v>*0,82</v>
      </c>
      <c r="H246" s="23">
        <f>Source!AW162</f>
        <v>1</v>
      </c>
      <c r="I246" s="27">
        <f>ROUND((Source!AC162*Source!AW162)*Source!I162, 2)</f>
        <v>44627.68</v>
      </c>
      <c r="J246" s="23">
        <f>IF(Source!BC162&lt;&gt; 0, Source!BC162, 1)</f>
        <v>4.8499999999999996</v>
      </c>
      <c r="K246" s="27">
        <f>Source!P162</f>
        <v>216444.25</v>
      </c>
    </row>
    <row r="247" spans="1:27" ht="14.25" x14ac:dyDescent="0.2">
      <c r="A247" s="21"/>
      <c r="B247" s="22"/>
      <c r="C247" s="22" t="s">
        <v>120</v>
      </c>
      <c r="D247" s="24"/>
      <c r="E247" s="23"/>
      <c r="F247" s="26">
        <f>Source!GT162</f>
        <v>0</v>
      </c>
      <c r="G247" s="25"/>
      <c r="H247" s="23"/>
      <c r="I247" s="27">
        <f>Source!GT162*Source!I162</f>
        <v>0</v>
      </c>
      <c r="J247" s="23">
        <f>IF(Source!GU162&lt;&gt; 0, Source!GU162, 1)</f>
        <v>1</v>
      </c>
      <c r="K247" s="27">
        <f>Source!GT162*Source!GU162*Source!I162</f>
        <v>0</v>
      </c>
    </row>
    <row r="248" spans="1:27" ht="14.25" x14ac:dyDescent="0.2">
      <c r="A248" s="29"/>
      <c r="B248" s="30"/>
      <c r="C248" s="30" t="s">
        <v>448</v>
      </c>
      <c r="D248" s="24"/>
      <c r="E248" s="31"/>
      <c r="F248" s="32">
        <f>Source!GV162</f>
        <v>0</v>
      </c>
      <c r="G248" s="24"/>
      <c r="H248" s="31"/>
      <c r="I248" s="33"/>
      <c r="J248" s="31"/>
      <c r="K248" s="33">
        <f>Source!GV162*Source!I162</f>
        <v>0</v>
      </c>
    </row>
    <row r="249" spans="1:27" ht="14.25" x14ac:dyDescent="0.2">
      <c r="A249" s="29"/>
      <c r="B249" s="30"/>
      <c r="C249" s="30" t="s">
        <v>449</v>
      </c>
      <c r="D249" s="24"/>
      <c r="E249" s="31"/>
      <c r="F249" s="32">
        <f>Source!GW162</f>
        <v>0</v>
      </c>
      <c r="G249" s="24"/>
      <c r="H249" s="31"/>
      <c r="I249" s="33"/>
      <c r="J249" s="31"/>
      <c r="K249" s="33">
        <f>Source!GW162*Source!I162</f>
        <v>0</v>
      </c>
    </row>
    <row r="250" spans="1:27" ht="15" x14ac:dyDescent="0.25">
      <c r="A250" s="41"/>
      <c r="B250" s="41"/>
      <c r="C250" s="41"/>
      <c r="D250" s="41"/>
      <c r="E250" s="41"/>
      <c r="F250" s="41"/>
      <c r="G250" s="41"/>
      <c r="H250" s="68">
        <f>I244+I245+I246+I247</f>
        <v>64728.81</v>
      </c>
      <c r="I250" s="68"/>
      <c r="J250" s="68">
        <f>K244+K245+K246+K247</f>
        <v>470508.85</v>
      </c>
      <c r="K250" s="68"/>
      <c r="O250" s="42">
        <f>H250</f>
        <v>64728.81</v>
      </c>
      <c r="P250" s="42">
        <f>J250</f>
        <v>470508.85</v>
      </c>
      <c r="X250" s="37">
        <f>IF(Source!BI162&lt;=1,I244+I245+I246+I247, 0)</f>
        <v>64728.81</v>
      </c>
      <c r="Y250" s="37">
        <f>IF(Source!BI162=2,I244+I245+I246+I247, 0)</f>
        <v>0</v>
      </c>
      <c r="Z250" s="37">
        <f>IF(Source!BI162=3,I244+I245+I246+I247, 0)</f>
        <v>0</v>
      </c>
      <c r="AA250" s="37">
        <f>IF(Source!BI162=4,I244+I245+I246+I247, 0)</f>
        <v>0</v>
      </c>
    </row>
    <row r="251" spans="1:27" ht="57" x14ac:dyDescent="0.2">
      <c r="A251" s="21" t="str">
        <f>Source!E163</f>
        <v>30</v>
      </c>
      <c r="B251" s="22" t="str">
        <f>Source!F163</f>
        <v>16.1-3030-2</v>
      </c>
      <c r="C251" s="22" t="str">
        <f>Source!G163</f>
        <v>НАЗЕМНАЯ ПРОКЛАДКА ТЕПЛОВЫХ СЕТЕЙ ИЗ СТАЛЬНЫХ ЭЛЕКТРОСВАРНЫХ ТРУБ ДИАМЕТРОМ 200ММ</v>
      </c>
      <c r="D251" s="24" t="str">
        <f>Source!H163</f>
        <v>м</v>
      </c>
      <c r="E251" s="23">
        <f>Source!I163</f>
        <v>12</v>
      </c>
      <c r="F251" s="26"/>
      <c r="G251" s="25"/>
      <c r="H251" s="23"/>
      <c r="I251" s="27"/>
      <c r="J251" s="23"/>
      <c r="K251" s="27"/>
      <c r="Q251" s="37">
        <f>ROUND((Source!DN163/100)*ROUND((Source!AF163*Source!AV163)*Source!I163, 2), 2)</f>
        <v>0</v>
      </c>
      <c r="R251" s="37">
        <f>Source!X163</f>
        <v>0</v>
      </c>
      <c r="S251" s="37">
        <f>ROUND((Source!DO163/100)*ROUND((Source!AF163*Source!AV163)*Source!I163, 2), 2)</f>
        <v>0</v>
      </c>
      <c r="T251" s="37">
        <f>Source!Y163</f>
        <v>0</v>
      </c>
      <c r="U251" s="37">
        <f>ROUND((175/100)*ROUND((Source!AE163*Source!AV163)*Source!I163, 2), 2)</f>
        <v>0</v>
      </c>
      <c r="V251" s="37">
        <f>ROUND((167/100)*ROUND(Source!CS163*Source!I163, 2), 2)</f>
        <v>0</v>
      </c>
    </row>
    <row r="252" spans="1:27" ht="14.25" x14ac:dyDescent="0.2">
      <c r="A252" s="21"/>
      <c r="B252" s="22"/>
      <c r="C252" s="22" t="s">
        <v>443</v>
      </c>
      <c r="D252" s="24"/>
      <c r="E252" s="23"/>
      <c r="F252" s="26"/>
      <c r="G252" s="25"/>
      <c r="H252" s="23"/>
      <c r="I252" s="27">
        <f>I253+I254+I255+I256</f>
        <v>21153.599999999999</v>
      </c>
      <c r="J252" s="23"/>
      <c r="K252" s="27">
        <f>K253+K254+K255+K256</f>
        <v>154802.72</v>
      </c>
    </row>
    <row r="253" spans="1:27" ht="14.25" x14ac:dyDescent="0.2">
      <c r="A253" s="21"/>
      <c r="B253" s="22"/>
      <c r="C253" s="22" t="s">
        <v>444</v>
      </c>
      <c r="D253" s="24"/>
      <c r="E253" s="23"/>
      <c r="F253" s="26">
        <f>Source!AO163</f>
        <v>446</v>
      </c>
      <c r="G253" s="25" t="str">
        <f>Source!DG163</f>
        <v>*1,15</v>
      </c>
      <c r="H253" s="23">
        <f>Source!AV163</f>
        <v>1</v>
      </c>
      <c r="I253" s="27">
        <f>ROUND((Source!AF163*Source!AV163)*Source!I163, 2)</f>
        <v>6154.8</v>
      </c>
      <c r="J253" s="23">
        <f>IF(Source!BA163&lt;&gt; 0, Source!BA163, 1)</f>
        <v>14.33</v>
      </c>
      <c r="K253" s="27">
        <f>Source!S163</f>
        <v>88198.28</v>
      </c>
      <c r="W253" s="37">
        <f>ROUND((Source!AF163*Source!AV163)*Source!I163, 2)</f>
        <v>6154.8</v>
      </c>
    </row>
    <row r="254" spans="1:27" ht="14.25" x14ac:dyDescent="0.2">
      <c r="A254" s="21"/>
      <c r="B254" s="22"/>
      <c r="C254" s="22" t="s">
        <v>445</v>
      </c>
      <c r="D254" s="24"/>
      <c r="E254" s="23"/>
      <c r="F254" s="26">
        <f>Source!AM163</f>
        <v>86</v>
      </c>
      <c r="G254" s="25" t="str">
        <f>Source!DE163</f>
        <v>*1,15</v>
      </c>
      <c r="H254" s="23">
        <f>Source!AV163</f>
        <v>1</v>
      </c>
      <c r="I254" s="27">
        <f>ROUND((Source!AD163*Source!AV163)*Source!I163, 2)</f>
        <v>1186.8</v>
      </c>
      <c r="J254" s="23">
        <f>IF(Source!BB163&lt;&gt; 0, Source!BB163, 1)</f>
        <v>10.5</v>
      </c>
      <c r="K254" s="27">
        <f>Source!Q163</f>
        <v>12461.4</v>
      </c>
    </row>
    <row r="255" spans="1:27" ht="14.25" x14ac:dyDescent="0.2">
      <c r="A255" s="21"/>
      <c r="B255" s="22"/>
      <c r="C255" s="22" t="s">
        <v>446</v>
      </c>
      <c r="D255" s="24"/>
      <c r="E255" s="23"/>
      <c r="F255" s="26">
        <f>Source!AL163</f>
        <v>1151</v>
      </c>
      <c r="G255" s="25" t="str">
        <f>Source!DD163</f>
        <v/>
      </c>
      <c r="H255" s="23">
        <f>Source!AW163</f>
        <v>1</v>
      </c>
      <c r="I255" s="27">
        <f>ROUND((Source!AC163*Source!AW163)*Source!I163, 2)</f>
        <v>13812</v>
      </c>
      <c r="J255" s="23">
        <f>IF(Source!BC163&lt;&gt; 0, Source!BC163, 1)</f>
        <v>3.92</v>
      </c>
      <c r="K255" s="27">
        <f>Source!P163</f>
        <v>54143.040000000001</v>
      </c>
    </row>
    <row r="256" spans="1:27" ht="14.25" x14ac:dyDescent="0.2">
      <c r="A256" s="21"/>
      <c r="B256" s="22"/>
      <c r="C256" s="22" t="s">
        <v>120</v>
      </c>
      <c r="D256" s="24"/>
      <c r="E256" s="23"/>
      <c r="F256" s="26">
        <f>Source!GT163</f>
        <v>0</v>
      </c>
      <c r="G256" s="25"/>
      <c r="H256" s="23"/>
      <c r="I256" s="27">
        <f>Source!GT163*Source!I163</f>
        <v>0</v>
      </c>
      <c r="J256" s="23">
        <f>IF(Source!GU163&lt;&gt; 0, Source!GU163, 1)</f>
        <v>1</v>
      </c>
      <c r="K256" s="27">
        <f>Source!GT163*Source!GU163*Source!I163</f>
        <v>0</v>
      </c>
    </row>
    <row r="257" spans="1:27" ht="14.25" x14ac:dyDescent="0.2">
      <c r="A257" s="29"/>
      <c r="B257" s="30"/>
      <c r="C257" s="30" t="s">
        <v>448</v>
      </c>
      <c r="D257" s="24"/>
      <c r="E257" s="31"/>
      <c r="F257" s="32">
        <f>Source!GV163</f>
        <v>0</v>
      </c>
      <c r="G257" s="24"/>
      <c r="H257" s="31"/>
      <c r="I257" s="33"/>
      <c r="J257" s="31"/>
      <c r="K257" s="33">
        <f>Source!GV163*Source!I163</f>
        <v>0</v>
      </c>
    </row>
    <row r="258" spans="1:27" ht="14.25" x14ac:dyDescent="0.2">
      <c r="A258" s="29"/>
      <c r="B258" s="30"/>
      <c r="C258" s="30" t="s">
        <v>449</v>
      </c>
      <c r="D258" s="24"/>
      <c r="E258" s="31"/>
      <c r="F258" s="32">
        <f>Source!GW163</f>
        <v>0</v>
      </c>
      <c r="G258" s="24"/>
      <c r="H258" s="31"/>
      <c r="I258" s="33"/>
      <c r="J258" s="31"/>
      <c r="K258" s="33">
        <f>Source!GW163*Source!I163</f>
        <v>0</v>
      </c>
    </row>
    <row r="259" spans="1:27" ht="15" x14ac:dyDescent="0.25">
      <c r="A259" s="41"/>
      <c r="B259" s="41"/>
      <c r="C259" s="41"/>
      <c r="D259" s="41"/>
      <c r="E259" s="41"/>
      <c r="F259" s="41"/>
      <c r="G259" s="41"/>
      <c r="H259" s="68">
        <f>I253+I254+I255+I256</f>
        <v>21153.599999999999</v>
      </c>
      <c r="I259" s="68"/>
      <c r="J259" s="68">
        <f>K253+K254+K255+K256</f>
        <v>154802.72</v>
      </c>
      <c r="K259" s="68"/>
      <c r="O259" s="42">
        <f>H259</f>
        <v>21153.599999999999</v>
      </c>
      <c r="P259" s="42">
        <f>J259</f>
        <v>154802.72</v>
      </c>
      <c r="X259" s="37">
        <f>IF(Source!BI163&lt;=1,I253+I254+I255+I256, 0)</f>
        <v>21153.599999999999</v>
      </c>
      <c r="Y259" s="37">
        <f>IF(Source!BI163=2,I253+I254+I255+I256, 0)</f>
        <v>0</v>
      </c>
      <c r="Z259" s="37">
        <f>IF(Source!BI163=3,I253+I254+I255+I256, 0)</f>
        <v>0</v>
      </c>
      <c r="AA259" s="37">
        <f>IF(Source!BI163=4,I253+I254+I255+I256, 0)</f>
        <v>0</v>
      </c>
    </row>
    <row r="260" spans="1:27" ht="69.75" x14ac:dyDescent="0.2">
      <c r="A260" s="21" t="str">
        <f>Source!E164</f>
        <v>31</v>
      </c>
      <c r="B260" s="22" t="str">
        <f>Source!F164</f>
        <v>16.1-2601-2</v>
      </c>
      <c r="C260" s="22" t="s">
        <v>467</v>
      </c>
      <c r="D260" s="24" t="str">
        <f>Source!H164</f>
        <v>камера</v>
      </c>
      <c r="E260" s="23">
        <f>Source!I164</f>
        <v>1</v>
      </c>
      <c r="F260" s="26"/>
      <c r="G260" s="25"/>
      <c r="H260" s="23"/>
      <c r="I260" s="27"/>
      <c r="J260" s="23"/>
      <c r="K260" s="27"/>
      <c r="Q260" s="37">
        <f>ROUND((Source!DN164/100)*ROUND((Source!AF164*Source!AV164)*Source!I164, 2), 2)</f>
        <v>0</v>
      </c>
      <c r="R260" s="37">
        <f>Source!X164</f>
        <v>0</v>
      </c>
      <c r="S260" s="37">
        <f>ROUND((Source!DO164/100)*ROUND((Source!AF164*Source!AV164)*Source!I164, 2), 2)</f>
        <v>0</v>
      </c>
      <c r="T260" s="37">
        <f>Source!Y164</f>
        <v>0</v>
      </c>
      <c r="U260" s="37">
        <f>ROUND((175/100)*ROUND((Source!AE164*Source!AV164)*Source!I164, 2), 2)</f>
        <v>0</v>
      </c>
      <c r="V260" s="37">
        <f>ROUND((167/100)*ROUND(Source!CS164*Source!I164, 2), 2)</f>
        <v>0</v>
      </c>
    </row>
    <row r="261" spans="1:27" ht="14.25" x14ac:dyDescent="0.2">
      <c r="A261" s="21"/>
      <c r="B261" s="22"/>
      <c r="C261" s="22" t="s">
        <v>443</v>
      </c>
      <c r="D261" s="24"/>
      <c r="E261" s="23"/>
      <c r="F261" s="26"/>
      <c r="G261" s="25"/>
      <c r="H261" s="23"/>
      <c r="I261" s="27">
        <f>I262+I263+I264+I265+SUM(I266:I267)</f>
        <v>32996.03</v>
      </c>
      <c r="J261" s="23"/>
      <c r="K261" s="27">
        <f>K262+K263+K264+K265+SUM(K266:K267)</f>
        <v>248301.35</v>
      </c>
    </row>
    <row r="262" spans="1:27" ht="14.25" x14ac:dyDescent="0.2">
      <c r="A262" s="21"/>
      <c r="B262" s="22"/>
      <c r="C262" s="22" t="s">
        <v>444</v>
      </c>
      <c r="D262" s="24"/>
      <c r="E262" s="23"/>
      <c r="F262" s="26">
        <f>Source!AO164</f>
        <v>5941</v>
      </c>
      <c r="G262" s="25" t="str">
        <f>Source!DG164</f>
        <v>*1,15*0,701</v>
      </c>
      <c r="H262" s="23">
        <f>Source!AV164</f>
        <v>1</v>
      </c>
      <c r="I262" s="27">
        <f>ROUND((Source!AF164*Source!AV164)*Source!I164, 2)</f>
        <v>4789.34</v>
      </c>
      <c r="J262" s="23">
        <f>IF(Source!BA164&lt;&gt; 0, Source!BA164, 1)</f>
        <v>15.54</v>
      </c>
      <c r="K262" s="27">
        <f>Source!S164</f>
        <v>74426.3</v>
      </c>
      <c r="W262" s="37">
        <f>ROUND((Source!AF164*Source!AV164)*Source!I164, 2)</f>
        <v>4789.34</v>
      </c>
    </row>
    <row r="263" spans="1:27" ht="14.25" x14ac:dyDescent="0.2">
      <c r="A263" s="21"/>
      <c r="B263" s="22"/>
      <c r="C263" s="22" t="s">
        <v>445</v>
      </c>
      <c r="D263" s="24"/>
      <c r="E263" s="23"/>
      <c r="F263" s="26">
        <f>Source!AM164</f>
        <v>2012</v>
      </c>
      <c r="G263" s="25" t="str">
        <f>Source!DE164</f>
        <v>*1,15*0,701</v>
      </c>
      <c r="H263" s="23">
        <f>Source!AV164</f>
        <v>1</v>
      </c>
      <c r="I263" s="27">
        <f>ROUND((Source!AD164*Source!AV164)*Source!I164, 2)</f>
        <v>1621.97</v>
      </c>
      <c r="J263" s="23">
        <f>IF(Source!BB164&lt;&gt; 0, Source!BB164, 1)</f>
        <v>11.48</v>
      </c>
      <c r="K263" s="27">
        <f>Source!Q164</f>
        <v>18620.259999999998</v>
      </c>
    </row>
    <row r="264" spans="1:27" ht="14.25" x14ac:dyDescent="0.2">
      <c r="A264" s="21"/>
      <c r="B264" s="22"/>
      <c r="C264" s="22" t="s">
        <v>446</v>
      </c>
      <c r="D264" s="24"/>
      <c r="E264" s="23"/>
      <c r="F264" s="26">
        <f>Source!AL164</f>
        <v>37924</v>
      </c>
      <c r="G264" s="25" t="str">
        <f>Source!DD164</f>
        <v>*0,701</v>
      </c>
      <c r="H264" s="23">
        <f>Source!AW164</f>
        <v>1</v>
      </c>
      <c r="I264" s="27">
        <f>ROUND((Source!AC164*Source!AW164)*Source!I164, 2)</f>
        <v>26584.720000000001</v>
      </c>
      <c r="J264" s="23">
        <f>IF(Source!BC164&lt;&gt; 0, Source!BC164, 1)</f>
        <v>5.84</v>
      </c>
      <c r="K264" s="27">
        <f>Source!P164</f>
        <v>155254.79</v>
      </c>
    </row>
    <row r="265" spans="1:27" ht="14.25" x14ac:dyDescent="0.2">
      <c r="A265" s="21"/>
      <c r="B265" s="22"/>
      <c r="C265" s="22" t="s">
        <v>120</v>
      </c>
      <c r="D265" s="24"/>
      <c r="E265" s="23"/>
      <c r="F265" s="26">
        <f>Source!GT164</f>
        <v>0</v>
      </c>
      <c r="G265" s="25"/>
      <c r="H265" s="23"/>
      <c r="I265" s="27">
        <f>Source!GT164*Source!I164</f>
        <v>0</v>
      </c>
      <c r="J265" s="23">
        <f>IF(Source!GU164&lt;&gt; 0, Source!GU164, 1)</f>
        <v>5.68</v>
      </c>
      <c r="K265" s="27">
        <f>Source!GT164*Source!GU164*Source!I164</f>
        <v>0</v>
      </c>
    </row>
    <row r="266" spans="1:27" ht="14.25" x14ac:dyDescent="0.2">
      <c r="A266" s="21" t="str">
        <f>Source!E165</f>
        <v>31,1</v>
      </c>
      <c r="B266" s="22" t="str">
        <f>Source!F165</f>
        <v>0.0-0-0</v>
      </c>
      <c r="C266" s="22" t="str">
        <f>Source!G165</f>
        <v>МАССА МУСОРА</v>
      </c>
      <c r="D266" s="24" t="str">
        <f>Source!H165</f>
        <v>т</v>
      </c>
      <c r="E266" s="23">
        <f>Source!I165</f>
        <v>-0.235536</v>
      </c>
      <c r="F266" s="26">
        <f>Source!AK165</f>
        <v>0</v>
      </c>
      <c r="G266" s="28" t="s">
        <v>468</v>
      </c>
      <c r="H266" s="23">
        <f>Source!AW165</f>
        <v>1</v>
      </c>
      <c r="I266" s="27">
        <f>ROUND((Source!AC165*Source!AW165)*Source!I165, 2)+ROUND((Source!AD165*Source!AV165)*Source!I165, 2)+ROUND((Source!AF165*Source!AV165)*Source!I165, 2)</f>
        <v>0</v>
      </c>
      <c r="J266" s="23">
        <f>IF(Source!BC165&lt;&gt; 0, Source!BC165, 1)</f>
        <v>1</v>
      </c>
      <c r="K266" s="27">
        <f>Source!O165</f>
        <v>0</v>
      </c>
      <c r="Q266" s="37">
        <f>ROUND((Source!DN165/100)*ROUND((Source!AF165*Source!AV165)*Source!I165, 2), 2)</f>
        <v>0</v>
      </c>
      <c r="R266" s="37">
        <f>Source!X165</f>
        <v>0</v>
      </c>
      <c r="S266" s="37">
        <f>ROUND((Source!DO165/100)*ROUND((Source!AF165*Source!AV165)*Source!I165, 2), 2)</f>
        <v>0</v>
      </c>
      <c r="T266" s="37">
        <f>Source!Y165</f>
        <v>0</v>
      </c>
      <c r="U266" s="37">
        <f>ROUND((175/100)*ROUND((Source!AE165*Source!AV165)*Source!I165, 2), 2)</f>
        <v>0</v>
      </c>
      <c r="V266" s="37">
        <f>ROUND((167/100)*ROUND(Source!CS165*Source!I165, 2), 2)</f>
        <v>0</v>
      </c>
      <c r="X266" s="37">
        <f>IF(Source!BI165&lt;=1,I266, 0)</f>
        <v>0</v>
      </c>
      <c r="Y266" s="37">
        <f>IF(Source!BI165=2,I266, 0)</f>
        <v>0</v>
      </c>
      <c r="Z266" s="37">
        <f>IF(Source!BI165=3,I266, 0)</f>
        <v>0</v>
      </c>
      <c r="AA266" s="37">
        <f>IF(Source!BI165=4,I266, 0)</f>
        <v>0</v>
      </c>
    </row>
    <row r="267" spans="1:27" ht="14.25" x14ac:dyDescent="0.2">
      <c r="A267" s="21" t="str">
        <f>Source!E166</f>
        <v>31,2</v>
      </c>
      <c r="B267" s="22" t="str">
        <f>Source!F166</f>
        <v>0.0-0-0</v>
      </c>
      <c r="C267" s="22" t="str">
        <f>Source!G166</f>
        <v>ОБЪЕМ ГРУНТА</v>
      </c>
      <c r="D267" s="24" t="str">
        <f>Source!H166</f>
        <v>м3</v>
      </c>
      <c r="E267" s="23">
        <f>Source!I166</f>
        <v>-16.774930000000001</v>
      </c>
      <c r="F267" s="26">
        <f>Source!AK166</f>
        <v>0</v>
      </c>
      <c r="G267" s="28" t="s">
        <v>468</v>
      </c>
      <c r="H267" s="23">
        <f>Source!AW166</f>
        <v>1</v>
      </c>
      <c r="I267" s="27">
        <f>ROUND((Source!AC166*Source!AW166)*Source!I166, 2)+ROUND((Source!AD166*Source!AV166)*Source!I166, 2)+ROUND((Source!AF166*Source!AV166)*Source!I166, 2)</f>
        <v>0</v>
      </c>
      <c r="J267" s="23">
        <f>IF(Source!BC166&lt;&gt; 0, Source!BC166, 1)</f>
        <v>1</v>
      </c>
      <c r="K267" s="27">
        <f>Source!O166</f>
        <v>0</v>
      </c>
      <c r="Q267" s="37">
        <f>ROUND((Source!DN166/100)*ROUND((Source!AF166*Source!AV166)*Source!I166, 2), 2)</f>
        <v>0</v>
      </c>
      <c r="R267" s="37">
        <f>Source!X166</f>
        <v>0</v>
      </c>
      <c r="S267" s="37">
        <f>ROUND((Source!DO166/100)*ROUND((Source!AF166*Source!AV166)*Source!I166, 2), 2)</f>
        <v>0</v>
      </c>
      <c r="T267" s="37">
        <f>Source!Y166</f>
        <v>0</v>
      </c>
      <c r="U267" s="37">
        <f>ROUND((175/100)*ROUND((Source!AE166*Source!AV166)*Source!I166, 2), 2)</f>
        <v>0</v>
      </c>
      <c r="V267" s="37">
        <f>ROUND((167/100)*ROUND(Source!CS166*Source!I166, 2), 2)</f>
        <v>0</v>
      </c>
      <c r="X267" s="37">
        <f>IF(Source!BI166&lt;=1,I267, 0)</f>
        <v>0</v>
      </c>
      <c r="Y267" s="37">
        <f>IF(Source!BI166=2,I267, 0)</f>
        <v>0</v>
      </c>
      <c r="Z267" s="37">
        <f>IF(Source!BI166=3,I267, 0)</f>
        <v>0</v>
      </c>
      <c r="AA267" s="37">
        <f>IF(Source!BI166=4,I267, 0)</f>
        <v>0</v>
      </c>
    </row>
    <row r="268" spans="1:27" ht="14.25" x14ac:dyDescent="0.2">
      <c r="A268" s="29"/>
      <c r="B268" s="30"/>
      <c r="C268" s="30" t="s">
        <v>448</v>
      </c>
      <c r="D268" s="24"/>
      <c r="E268" s="31"/>
      <c r="F268" s="32">
        <f>Source!GV164</f>
        <v>-23.93</v>
      </c>
      <c r="G268" s="24"/>
      <c r="H268" s="31"/>
      <c r="I268" s="33"/>
      <c r="J268" s="31"/>
      <c r="K268" s="33">
        <f>Source!GV164*Source!I164</f>
        <v>-23.93</v>
      </c>
    </row>
    <row r="269" spans="1:27" ht="14.25" x14ac:dyDescent="0.2">
      <c r="A269" s="29"/>
      <c r="B269" s="30"/>
      <c r="C269" s="30" t="s">
        <v>449</v>
      </c>
      <c r="D269" s="24"/>
      <c r="E269" s="31"/>
      <c r="F269" s="32">
        <f>Source!GW164</f>
        <v>-0.33600000000000002</v>
      </c>
      <c r="G269" s="24"/>
      <c r="H269" s="31"/>
      <c r="I269" s="33"/>
      <c r="J269" s="31"/>
      <c r="K269" s="33">
        <f>Source!GW164*Source!I164</f>
        <v>-0.33600000000000002</v>
      </c>
    </row>
    <row r="270" spans="1:27" ht="15" x14ac:dyDescent="0.25">
      <c r="A270" s="41"/>
      <c r="B270" s="41"/>
      <c r="C270" s="41"/>
      <c r="D270" s="41"/>
      <c r="E270" s="41"/>
      <c r="F270" s="41"/>
      <c r="G270" s="41"/>
      <c r="H270" s="68">
        <f>I262+I263+I264+I265+SUM(I266:I267)</f>
        <v>32996.03</v>
      </c>
      <c r="I270" s="68"/>
      <c r="J270" s="68">
        <f>K262+K263+K264+K265+SUM(K266:K267)</f>
        <v>248301.35</v>
      </c>
      <c r="K270" s="68"/>
      <c r="O270" s="42">
        <f>H270</f>
        <v>32996.03</v>
      </c>
      <c r="P270" s="42">
        <f>J270</f>
        <v>248301.35</v>
      </c>
      <c r="X270" s="37">
        <f>IF(Source!BI164&lt;=1,I262+I263+I264+I265, 0)</f>
        <v>32996.03</v>
      </c>
      <c r="Y270" s="37">
        <f>IF(Source!BI164=2,I262+I263+I264+I265, 0)</f>
        <v>0</v>
      </c>
      <c r="Z270" s="37">
        <f>IF(Source!BI164=3,I262+I263+I264+I265, 0)</f>
        <v>0</v>
      </c>
      <c r="AA270" s="37">
        <f>IF(Source!BI164=4,I262+I263+I264+I265, 0)</f>
        <v>0</v>
      </c>
    </row>
    <row r="271" spans="1:27" ht="42.75" x14ac:dyDescent="0.2">
      <c r="A271" s="21" t="str">
        <f>Source!E167</f>
        <v>32</v>
      </c>
      <c r="B271" s="22" t="str">
        <f>Source!F167</f>
        <v>16.1-2603-1</v>
      </c>
      <c r="C271" s="22" t="str">
        <f>Source!G167</f>
        <v>ТЕХНОЛОГИЧЕСКИЙ УЗЕЛ КАМЕРЫ, ДИАМЕТР ТРУБОПРОВОДА 200-300 ММ</v>
      </c>
      <c r="D271" s="24" t="str">
        <f>Source!H167</f>
        <v>узел</v>
      </c>
      <c r="E271" s="23">
        <f>Source!I167</f>
        <v>1</v>
      </c>
      <c r="F271" s="26"/>
      <c r="G271" s="25"/>
      <c r="H271" s="23"/>
      <c r="I271" s="27"/>
      <c r="J271" s="23"/>
      <c r="K271" s="27"/>
      <c r="Q271" s="37">
        <f>ROUND((Source!DN167/100)*ROUND((Source!AF167*Source!AV167)*Source!I167, 2), 2)</f>
        <v>0</v>
      </c>
      <c r="R271" s="37">
        <f>Source!X167</f>
        <v>0</v>
      </c>
      <c r="S271" s="37">
        <f>ROUND((Source!DO167/100)*ROUND((Source!AF167*Source!AV167)*Source!I167, 2), 2)</f>
        <v>0</v>
      </c>
      <c r="T271" s="37">
        <f>Source!Y167</f>
        <v>0</v>
      </c>
      <c r="U271" s="37">
        <f>ROUND((175/100)*ROUND((Source!AE167*Source!AV167)*Source!I167, 2), 2)</f>
        <v>0</v>
      </c>
      <c r="V271" s="37">
        <f>ROUND((167/100)*ROUND(Source!CS167*Source!I167, 2), 2)</f>
        <v>0</v>
      </c>
    </row>
    <row r="272" spans="1:27" ht="14.25" x14ac:dyDescent="0.2">
      <c r="A272" s="21"/>
      <c r="B272" s="22"/>
      <c r="C272" s="22" t="s">
        <v>443</v>
      </c>
      <c r="D272" s="24"/>
      <c r="E272" s="23"/>
      <c r="F272" s="26"/>
      <c r="G272" s="25"/>
      <c r="H272" s="23"/>
      <c r="I272" s="27">
        <f>I273+I274+I275+I276+SUM(I277:I277)</f>
        <v>63873.64</v>
      </c>
      <c r="J272" s="23"/>
      <c r="K272" s="27">
        <f>K273+K274+K275+K276+SUM(K277:K277)</f>
        <v>407143.54000000004</v>
      </c>
    </row>
    <row r="273" spans="1:27" ht="14.25" x14ac:dyDescent="0.2">
      <c r="A273" s="21"/>
      <c r="B273" s="22"/>
      <c r="C273" s="22" t="s">
        <v>444</v>
      </c>
      <c r="D273" s="24"/>
      <c r="E273" s="23"/>
      <c r="F273" s="26">
        <f>Source!AO167</f>
        <v>7504</v>
      </c>
      <c r="G273" s="25" t="str">
        <f>Source!DG167</f>
        <v>*1,15</v>
      </c>
      <c r="H273" s="23">
        <f>Source!AV167</f>
        <v>1</v>
      </c>
      <c r="I273" s="27">
        <f>ROUND((Source!AF167*Source!AV167)*Source!I167, 2)</f>
        <v>8629.6</v>
      </c>
      <c r="J273" s="23">
        <f>IF(Source!BA167&lt;&gt; 0, Source!BA167, 1)</f>
        <v>13.8</v>
      </c>
      <c r="K273" s="27">
        <f>Source!S167</f>
        <v>119088.48</v>
      </c>
      <c r="W273" s="37">
        <f>ROUND((Source!AF167*Source!AV167)*Source!I167, 2)</f>
        <v>8629.6</v>
      </c>
    </row>
    <row r="274" spans="1:27" ht="14.25" x14ac:dyDescent="0.2">
      <c r="A274" s="21"/>
      <c r="B274" s="22"/>
      <c r="C274" s="22" t="s">
        <v>445</v>
      </c>
      <c r="D274" s="24"/>
      <c r="E274" s="23"/>
      <c r="F274" s="26">
        <f>Source!AM167</f>
        <v>5018</v>
      </c>
      <c r="G274" s="25" t="str">
        <f>Source!DE167</f>
        <v>*1,15</v>
      </c>
      <c r="H274" s="23">
        <f>Source!AV167</f>
        <v>1</v>
      </c>
      <c r="I274" s="27">
        <f>ROUND((Source!AD167*Source!AV167)*Source!I167, 2)</f>
        <v>5770.7</v>
      </c>
      <c r="J274" s="23">
        <f>IF(Source!BB167&lt;&gt; 0, Source!BB167, 1)</f>
        <v>10.69</v>
      </c>
      <c r="K274" s="27">
        <f>Source!Q167</f>
        <v>61688.78</v>
      </c>
    </row>
    <row r="275" spans="1:27" ht="14.25" x14ac:dyDescent="0.2">
      <c r="A275" s="21"/>
      <c r="B275" s="22"/>
      <c r="C275" s="22" t="s">
        <v>446</v>
      </c>
      <c r="D275" s="24"/>
      <c r="E275" s="23"/>
      <c r="F275" s="26">
        <f>Source!AL167</f>
        <v>27212</v>
      </c>
      <c r="G275" s="25" t="str">
        <f>Source!DD167</f>
        <v/>
      </c>
      <c r="H275" s="23">
        <f>Source!AW167</f>
        <v>1</v>
      </c>
      <c r="I275" s="27">
        <f>ROUND((Source!AC167*Source!AW167)*Source!I167, 2)</f>
        <v>27212</v>
      </c>
      <c r="J275" s="23">
        <f>IF(Source!BC167&lt;&gt; 0, Source!BC167, 1)</f>
        <v>4.8499999999999996</v>
      </c>
      <c r="K275" s="27">
        <f>Source!P167</f>
        <v>131978.20000000001</v>
      </c>
    </row>
    <row r="276" spans="1:27" ht="14.25" x14ac:dyDescent="0.2">
      <c r="A276" s="21"/>
      <c r="B276" s="22"/>
      <c r="C276" s="22" t="s">
        <v>120</v>
      </c>
      <c r="D276" s="24"/>
      <c r="E276" s="23"/>
      <c r="F276" s="26">
        <f>Source!GT167</f>
        <v>0</v>
      </c>
      <c r="G276" s="25"/>
      <c r="H276" s="23"/>
      <c r="I276" s="27">
        <f>Source!GT167*Source!I167</f>
        <v>0</v>
      </c>
      <c r="J276" s="23">
        <f>IF(Source!GU167&lt;&gt; 0, Source!GU167, 1)</f>
        <v>1</v>
      </c>
      <c r="K276" s="27">
        <f>Source!GT167*Source!GU167*Source!I167</f>
        <v>0</v>
      </c>
    </row>
    <row r="277" spans="1:27" ht="71.25" x14ac:dyDescent="0.2">
      <c r="A277" s="21" t="str">
        <f>Source!E168</f>
        <v>32,1</v>
      </c>
      <c r="B277" s="22" t="str">
        <f>Source!F168</f>
        <v>Дог.поставки №ЭК-73/15-ДПЛ от 21.07.15</v>
      </c>
      <c r="C277" s="22" t="s">
        <v>469</v>
      </c>
      <c r="D277" s="24" t="str">
        <f>Source!H168</f>
        <v>ШТ</v>
      </c>
      <c r="E277" s="23">
        <f>Source!I168</f>
        <v>2</v>
      </c>
      <c r="F277" s="26">
        <f>Source!AK168</f>
        <v>11130.67</v>
      </c>
      <c r="G277" s="28" t="s">
        <v>3</v>
      </c>
      <c r="H277" s="23">
        <f>Source!AW168</f>
        <v>1</v>
      </c>
      <c r="I277" s="27">
        <f>ROUND((Source!AC168*Source!AW168)*Source!I168, 2)+ROUND((Source!AD168*Source!AV168)*Source!I168, 2)+ROUND((Source!AF168*Source!AV168)*Source!I168, 2)</f>
        <v>22261.34</v>
      </c>
      <c r="J277" s="23">
        <f>IF(Source!BC168&lt;&gt; 0, Source!BC168, 1)</f>
        <v>4.24</v>
      </c>
      <c r="K277" s="27">
        <f>Source!O168</f>
        <v>94388.08</v>
      </c>
      <c r="Q277" s="37">
        <f>ROUND((Source!DN168/100)*ROUND((Source!AF168*Source!AV168)*Source!I168, 2), 2)</f>
        <v>0</v>
      </c>
      <c r="R277" s="37">
        <f>Source!X168</f>
        <v>0</v>
      </c>
      <c r="S277" s="37">
        <f>ROUND((Source!DO168/100)*ROUND((Source!AF168*Source!AV168)*Source!I168, 2), 2)</f>
        <v>0</v>
      </c>
      <c r="T277" s="37">
        <f>Source!Y168</f>
        <v>0</v>
      </c>
      <c r="U277" s="37">
        <f>ROUND((175/100)*ROUND((Source!AE168*Source!AV168)*Source!I168, 2), 2)</f>
        <v>0</v>
      </c>
      <c r="V277" s="37">
        <f>ROUND((167/100)*ROUND(Source!CS168*Source!I168, 2), 2)</f>
        <v>0</v>
      </c>
      <c r="X277" s="37">
        <f>IF(Source!BI168&lt;=1,I277, 0)</f>
        <v>0</v>
      </c>
      <c r="Y277" s="37">
        <f>IF(Source!BI168=2,I277, 0)</f>
        <v>0</v>
      </c>
      <c r="Z277" s="37">
        <f>IF(Source!BI168=3,I277, 0)</f>
        <v>22261.34</v>
      </c>
      <c r="AA277" s="37">
        <f>IF(Source!BI168=4,I277, 0)</f>
        <v>0</v>
      </c>
    </row>
    <row r="278" spans="1:27" ht="14.25" x14ac:dyDescent="0.2">
      <c r="A278" s="29"/>
      <c r="B278" s="30"/>
      <c r="C278" s="30" t="s">
        <v>448</v>
      </c>
      <c r="D278" s="24"/>
      <c r="E278" s="31"/>
      <c r="F278" s="32">
        <f>Source!GV167</f>
        <v>0</v>
      </c>
      <c r="G278" s="24"/>
      <c r="H278" s="31"/>
      <c r="I278" s="33"/>
      <c r="J278" s="31"/>
      <c r="K278" s="33">
        <f>Source!GV167*Source!I167</f>
        <v>0</v>
      </c>
    </row>
    <row r="279" spans="1:27" ht="14.25" x14ac:dyDescent="0.2">
      <c r="A279" s="29"/>
      <c r="B279" s="30"/>
      <c r="C279" s="30" t="s">
        <v>449</v>
      </c>
      <c r="D279" s="24"/>
      <c r="E279" s="31"/>
      <c r="F279" s="32">
        <f>Source!GW167</f>
        <v>0</v>
      </c>
      <c r="G279" s="24"/>
      <c r="H279" s="31"/>
      <c r="I279" s="33"/>
      <c r="J279" s="31"/>
      <c r="K279" s="33">
        <f>Source!GW167*Source!I167</f>
        <v>0</v>
      </c>
    </row>
    <row r="280" spans="1:27" ht="15" x14ac:dyDescent="0.25">
      <c r="A280" s="41"/>
      <c r="B280" s="41"/>
      <c r="C280" s="41"/>
      <c r="D280" s="41"/>
      <c r="E280" s="41"/>
      <c r="F280" s="41"/>
      <c r="G280" s="41"/>
      <c r="H280" s="68">
        <f>I273+I274+I275+I276+SUM(I277:I277)</f>
        <v>63873.64</v>
      </c>
      <c r="I280" s="68"/>
      <c r="J280" s="68">
        <f>K273+K274+K275+K276+SUM(K277:K277)</f>
        <v>407143.54000000004</v>
      </c>
      <c r="K280" s="68"/>
      <c r="O280" s="42">
        <f>H280</f>
        <v>63873.64</v>
      </c>
      <c r="P280" s="42">
        <f>J280</f>
        <v>407143.54000000004</v>
      </c>
      <c r="X280" s="37">
        <f>IF(Source!BI167&lt;=1,I273+I274+I275+I276, 0)</f>
        <v>41612.300000000003</v>
      </c>
      <c r="Y280" s="37">
        <f>IF(Source!BI167=2,I273+I274+I275+I276, 0)</f>
        <v>0</v>
      </c>
      <c r="Z280" s="37">
        <f>IF(Source!BI167=3,I273+I274+I275+I276, 0)</f>
        <v>0</v>
      </c>
      <c r="AA280" s="37">
        <f>IF(Source!BI167=4,I273+I274+I275+I276, 0)</f>
        <v>0</v>
      </c>
    </row>
    <row r="281" spans="1:27" ht="57" x14ac:dyDescent="0.2">
      <c r="A281" s="21" t="str">
        <f>Source!E169</f>
        <v>33</v>
      </c>
      <c r="B281" s="22" t="str">
        <f>Source!F169</f>
        <v>16.3-14-1</v>
      </c>
      <c r="C281" s="22" t="str">
        <f>Source!G169</f>
        <v>ГАЗОН В ГОРОДСКИХ УСЛОВИЯХ, С ПОСЕВОМ ТРАВ, С ВНЕСЕНИЕМ РАСТИТЕЛЬНОЙ СМЕСИ СЛОЕМ 20 СМ</v>
      </c>
      <c r="D281" s="24" t="str">
        <f>Source!H169</f>
        <v>м2</v>
      </c>
      <c r="E281" s="23">
        <f>Source!I169</f>
        <v>232</v>
      </c>
      <c r="F281" s="26"/>
      <c r="G281" s="25"/>
      <c r="H281" s="23"/>
      <c r="I281" s="27"/>
      <c r="J281" s="23"/>
      <c r="K281" s="27"/>
      <c r="Q281" s="37">
        <f>ROUND((Source!DN169/100)*ROUND((Source!AF169*Source!AV169)*Source!I169, 2), 2)</f>
        <v>0</v>
      </c>
      <c r="R281" s="37">
        <f>Source!X169</f>
        <v>0</v>
      </c>
      <c r="S281" s="37">
        <f>ROUND((Source!DO169/100)*ROUND((Source!AF169*Source!AV169)*Source!I169, 2), 2)</f>
        <v>0</v>
      </c>
      <c r="T281" s="37">
        <f>Source!Y169</f>
        <v>0</v>
      </c>
      <c r="U281" s="37">
        <f>ROUND((175/100)*ROUND((Source!AE169*Source!AV169)*Source!I169, 2), 2)</f>
        <v>0</v>
      </c>
      <c r="V281" s="37">
        <f>ROUND((167/100)*ROUND(Source!CS169*Source!I169, 2), 2)</f>
        <v>0</v>
      </c>
    </row>
    <row r="282" spans="1:27" x14ac:dyDescent="0.2">
      <c r="C282" s="34" t="str">
        <f>"Объем: "&amp;Source!I169&amp;"=((4,2+"&amp;"4,2)*"&amp;"2+"&amp;"(3,2+"&amp;"3,2))*"&amp;"2*"&amp;"5"</f>
        <v>Объем: 232=((4,2+4,2)*2+(3,2+3,2))*2*5</v>
      </c>
    </row>
    <row r="283" spans="1:27" ht="14.25" x14ac:dyDescent="0.2">
      <c r="A283" s="21"/>
      <c r="B283" s="22"/>
      <c r="C283" s="22" t="s">
        <v>443</v>
      </c>
      <c r="D283" s="24"/>
      <c r="E283" s="23"/>
      <c r="F283" s="26"/>
      <c r="G283" s="25"/>
      <c r="H283" s="23"/>
      <c r="I283" s="27">
        <f>I284+I285+I286+I287+SUM(I288:I288)</f>
        <v>34950.800000000003</v>
      </c>
      <c r="J283" s="23"/>
      <c r="K283" s="27">
        <f>K284+K285+K286+K287+SUM(K288:K288)</f>
        <v>358931.38</v>
      </c>
    </row>
    <row r="284" spans="1:27" ht="14.25" x14ac:dyDescent="0.2">
      <c r="A284" s="21"/>
      <c r="B284" s="22"/>
      <c r="C284" s="22" t="s">
        <v>444</v>
      </c>
      <c r="D284" s="24"/>
      <c r="E284" s="23"/>
      <c r="F284" s="26">
        <f>Source!AO169</f>
        <v>41</v>
      </c>
      <c r="G284" s="25" t="str">
        <f>Source!DG169</f>
        <v>*1,15</v>
      </c>
      <c r="H284" s="23">
        <f>Source!AV169</f>
        <v>1</v>
      </c>
      <c r="I284" s="27">
        <f>ROUND((Source!AF169*Source!AV169)*Source!I169, 2)</f>
        <v>10938.8</v>
      </c>
      <c r="J284" s="23">
        <f>IF(Source!BA169&lt;&gt; 0, Source!BA169, 1)</f>
        <v>15.42</v>
      </c>
      <c r="K284" s="27">
        <f>Source!S169</f>
        <v>168676.3</v>
      </c>
      <c r="W284" s="37">
        <f>ROUND((Source!AF169*Source!AV169)*Source!I169, 2)</f>
        <v>10938.8</v>
      </c>
    </row>
    <row r="285" spans="1:27" ht="14.25" x14ac:dyDescent="0.2">
      <c r="A285" s="21"/>
      <c r="B285" s="22"/>
      <c r="C285" s="22" t="s">
        <v>445</v>
      </c>
      <c r="D285" s="24"/>
      <c r="E285" s="23"/>
      <c r="F285" s="26">
        <f>Source!AM169</f>
        <v>30</v>
      </c>
      <c r="G285" s="25" t="str">
        <f>Source!DE169</f>
        <v>*1,15</v>
      </c>
      <c r="H285" s="23">
        <f>Source!AV169</f>
        <v>1</v>
      </c>
      <c r="I285" s="27">
        <f>ROUND((Source!AD169*Source!AV169)*Source!I169, 2)</f>
        <v>8004</v>
      </c>
      <c r="J285" s="23">
        <f>IF(Source!BB169&lt;&gt; 0, Source!BB169, 1)</f>
        <v>7.79</v>
      </c>
      <c r="K285" s="27">
        <f>Source!Q169</f>
        <v>62351.16</v>
      </c>
    </row>
    <row r="286" spans="1:27" ht="14.25" x14ac:dyDescent="0.2">
      <c r="A286" s="21"/>
      <c r="B286" s="22"/>
      <c r="C286" s="22" t="s">
        <v>446</v>
      </c>
      <c r="D286" s="24"/>
      <c r="E286" s="23"/>
      <c r="F286" s="26">
        <f>Source!AL169</f>
        <v>69</v>
      </c>
      <c r="G286" s="25" t="str">
        <f>Source!DD169</f>
        <v/>
      </c>
      <c r="H286" s="23">
        <f>Source!AW169</f>
        <v>1</v>
      </c>
      <c r="I286" s="27">
        <f>ROUND((Source!AC169*Source!AW169)*Source!I169, 2)</f>
        <v>16008</v>
      </c>
      <c r="J286" s="23">
        <f>IF(Source!BC169&lt;&gt; 0, Source!BC169, 1)</f>
        <v>7.99</v>
      </c>
      <c r="K286" s="27">
        <f>Source!P169</f>
        <v>127903.92</v>
      </c>
    </row>
    <row r="287" spans="1:27" ht="14.25" x14ac:dyDescent="0.2">
      <c r="A287" s="21"/>
      <c r="B287" s="22"/>
      <c r="C287" s="22" t="s">
        <v>120</v>
      </c>
      <c r="D287" s="24"/>
      <c r="E287" s="23"/>
      <c r="F287" s="26">
        <f>Source!GT169</f>
        <v>0</v>
      </c>
      <c r="G287" s="25"/>
      <c r="H287" s="23"/>
      <c r="I287" s="27">
        <f>Source!GT169*Source!I169</f>
        <v>0</v>
      </c>
      <c r="J287" s="23">
        <f>IF(Source!GU169&lt;&gt; 0, Source!GU169, 1)</f>
        <v>1</v>
      </c>
      <c r="K287" s="27">
        <f>Source!GT169*Source!GU169*Source!I169</f>
        <v>0</v>
      </c>
    </row>
    <row r="288" spans="1:27" ht="14.25" x14ac:dyDescent="0.2">
      <c r="A288" s="21" t="str">
        <f>Source!E170</f>
        <v>33,1</v>
      </c>
      <c r="B288" s="22" t="str">
        <f>Source!F170</f>
        <v>0.0-0-0</v>
      </c>
      <c r="C288" s="22" t="str">
        <f>Source!G170</f>
        <v>ОБЪЕМ ГРУНТА</v>
      </c>
      <c r="D288" s="24" t="str">
        <f>Source!H170</f>
        <v>м3</v>
      </c>
      <c r="E288" s="23">
        <f>Source!I170</f>
        <v>-46.4</v>
      </c>
      <c r="F288" s="26">
        <f>Source!AK170</f>
        <v>0</v>
      </c>
      <c r="G288" s="28" t="s">
        <v>3</v>
      </c>
      <c r="H288" s="23">
        <f>Source!AW170</f>
        <v>1</v>
      </c>
      <c r="I288" s="27">
        <f>ROUND((Source!AC170*Source!AW170)*Source!I170, 2)+ROUND((Source!AD170*Source!AV170)*Source!I170, 2)+ROUND((Source!AF170*Source!AV170)*Source!I170, 2)</f>
        <v>0</v>
      </c>
      <c r="J288" s="23">
        <f>IF(Source!BC170&lt;&gt; 0, Source!BC170, 1)</f>
        <v>1</v>
      </c>
      <c r="K288" s="27">
        <f>Source!O170</f>
        <v>0</v>
      </c>
      <c r="Q288" s="37">
        <f>ROUND((Source!DN170/100)*ROUND((Source!AF170*Source!AV170)*Source!I170, 2), 2)</f>
        <v>0</v>
      </c>
      <c r="R288" s="37">
        <f>Source!X170</f>
        <v>0</v>
      </c>
      <c r="S288" s="37">
        <f>ROUND((Source!DO170/100)*ROUND((Source!AF170*Source!AV170)*Source!I170, 2), 2)</f>
        <v>0</v>
      </c>
      <c r="T288" s="37">
        <f>Source!Y170</f>
        <v>0</v>
      </c>
      <c r="U288" s="37">
        <f>ROUND((175/100)*ROUND((Source!AE170*Source!AV170)*Source!I170, 2), 2)</f>
        <v>0</v>
      </c>
      <c r="V288" s="37">
        <f>ROUND((167/100)*ROUND(Source!CS170*Source!I170, 2), 2)</f>
        <v>0</v>
      </c>
      <c r="X288" s="37">
        <f>IF(Source!BI170&lt;=1,I288, 0)</f>
        <v>0</v>
      </c>
      <c r="Y288" s="37">
        <f>IF(Source!BI170=2,I288, 0)</f>
        <v>0</v>
      </c>
      <c r="Z288" s="37">
        <f>IF(Source!BI170=3,I288, 0)</f>
        <v>0</v>
      </c>
      <c r="AA288" s="37">
        <f>IF(Source!BI170=4,I288, 0)</f>
        <v>0</v>
      </c>
    </row>
    <row r="289" spans="1:27" ht="14.25" x14ac:dyDescent="0.2">
      <c r="A289" s="29"/>
      <c r="B289" s="30"/>
      <c r="C289" s="30" t="s">
        <v>448</v>
      </c>
      <c r="D289" s="24"/>
      <c r="E289" s="31"/>
      <c r="F289" s="32">
        <f>Source!GV169</f>
        <v>-0.2</v>
      </c>
      <c r="G289" s="24"/>
      <c r="H289" s="31"/>
      <c r="I289" s="33"/>
      <c r="J289" s="31"/>
      <c r="K289" s="33">
        <f>Source!GV169*Source!I169</f>
        <v>-46.400000000000006</v>
      </c>
    </row>
    <row r="290" spans="1:27" ht="14.25" x14ac:dyDescent="0.2">
      <c r="A290" s="29"/>
      <c r="B290" s="30"/>
      <c r="C290" s="30" t="s">
        <v>449</v>
      </c>
      <c r="D290" s="24"/>
      <c r="E290" s="31"/>
      <c r="F290" s="32">
        <f>Source!GW169</f>
        <v>0</v>
      </c>
      <c r="G290" s="24"/>
      <c r="H290" s="31"/>
      <c r="I290" s="33"/>
      <c r="J290" s="31"/>
      <c r="K290" s="33">
        <f>Source!GW169*Source!I169</f>
        <v>0</v>
      </c>
    </row>
    <row r="291" spans="1:27" ht="15" x14ac:dyDescent="0.25">
      <c r="A291" s="41"/>
      <c r="B291" s="41"/>
      <c r="C291" s="41"/>
      <c r="D291" s="41"/>
      <c r="E291" s="41"/>
      <c r="F291" s="41"/>
      <c r="G291" s="41"/>
      <c r="H291" s="68">
        <f>I284+I285+I286+I287+SUM(I288:I288)</f>
        <v>34950.800000000003</v>
      </c>
      <c r="I291" s="68"/>
      <c r="J291" s="68">
        <f>K284+K285+K286+K287+SUM(K288:K288)</f>
        <v>358931.38</v>
      </c>
      <c r="K291" s="68"/>
      <c r="O291" s="42">
        <f>H291</f>
        <v>34950.800000000003</v>
      </c>
      <c r="P291" s="42">
        <f>J291</f>
        <v>358931.38</v>
      </c>
      <c r="X291" s="37">
        <f>IF(Source!BI169&lt;=1,I284+I285+I286+I287, 0)</f>
        <v>34950.800000000003</v>
      </c>
      <c r="Y291" s="37">
        <f>IF(Source!BI169=2,I284+I285+I286+I287, 0)</f>
        <v>0</v>
      </c>
      <c r="Z291" s="37">
        <f>IF(Source!BI169=3,I284+I285+I286+I287, 0)</f>
        <v>0</v>
      </c>
      <c r="AA291" s="37">
        <f>IF(Source!BI169=4,I284+I285+I286+I287, 0)</f>
        <v>0</v>
      </c>
    </row>
    <row r="292" spans="1:27" ht="71.25" x14ac:dyDescent="0.2">
      <c r="A292" s="21" t="str">
        <f>Source!E171</f>
        <v>34</v>
      </c>
      <c r="B292" s="22" t="str">
        <f>Source!F171</f>
        <v>3.1-6-10</v>
      </c>
      <c r="C292" s="22" t="str">
        <f>Source!G171</f>
        <v>РАЗРАБОТКА ГРУНТА С ПОГРУЗКОЙ НА АВТОМОБИЛИ-САМОСВАЛЫ ЭКСКАВАТОРАМИ С КОВШОМ ВМЕСТИМОСТЬЮ 0,5 М3 ГРУППА ГРУНТОВ 1-3</v>
      </c>
      <c r="D292" s="24" t="str">
        <f>Source!H171</f>
        <v>100 м3</v>
      </c>
      <c r="E292" s="23">
        <f>Source!I171</f>
        <v>0.94040999999999997</v>
      </c>
      <c r="F292" s="26"/>
      <c r="G292" s="25"/>
      <c r="H292" s="23"/>
      <c r="I292" s="27"/>
      <c r="J292" s="23"/>
      <c r="K292" s="27"/>
      <c r="Q292" s="37">
        <f>ROUND((Source!DN171/100)*ROUND((Source!AF171*Source!AV171)*Source!I171, 2), 2)</f>
        <v>15.49</v>
      </c>
      <c r="R292" s="37">
        <f>Source!X171</f>
        <v>267.69</v>
      </c>
      <c r="S292" s="37">
        <f>ROUND((Source!DO171/100)*ROUND((Source!AF171*Source!AV171)*Source!I171, 2), 2)</f>
        <v>12.17</v>
      </c>
      <c r="T292" s="37">
        <f>Source!Y171</f>
        <v>149.02000000000001</v>
      </c>
      <c r="U292" s="37">
        <f>ROUND((175/100)*ROUND((Source!AE171*Source!AV171)*Source!I171, 2), 2)</f>
        <v>275.57</v>
      </c>
      <c r="V292" s="37">
        <f>ROUND((167/100)*ROUND(Source!CS171*Source!I171, 2), 2)</f>
        <v>4591.6499999999996</v>
      </c>
    </row>
    <row r="293" spans="1:27" ht="18.75" customHeight="1" x14ac:dyDescent="0.2">
      <c r="C293" s="47" t="str">
        <f>"Объем: "&amp;Source!I171&amp;"=(46,4+"&amp;"16,775+30,866)/"&amp;"100"</f>
        <v>Объем: 0,94041=(46,4+16,775+30,866)/100</v>
      </c>
      <c r="L293" s="43" t="s">
        <v>480</v>
      </c>
    </row>
    <row r="294" spans="1:27" ht="14.25" x14ac:dyDescent="0.2">
      <c r="A294" s="21"/>
      <c r="B294" s="22"/>
      <c r="C294" s="22" t="s">
        <v>450</v>
      </c>
      <c r="D294" s="24"/>
      <c r="E294" s="23"/>
      <c r="F294" s="26">
        <f>Source!AO171</f>
        <v>14.1</v>
      </c>
      <c r="G294" s="25" t="str">
        <f>Source!DG171</f>
        <v/>
      </c>
      <c r="H294" s="23">
        <f>Source!AV171</f>
        <v>1.1919999999999999</v>
      </c>
      <c r="I294" s="27">
        <f>ROUND((Source!AF171*Source!AV171)*Source!I171, 2)</f>
        <v>15.81</v>
      </c>
      <c r="J294" s="23">
        <f>IF(Source!BA171&lt;&gt; 0, Source!BA171, 1)</f>
        <v>17.46</v>
      </c>
      <c r="K294" s="27">
        <f>Source!S171</f>
        <v>275.97000000000003</v>
      </c>
      <c r="W294" s="37">
        <f>ROUND((Source!AF171*Source!AV171)*Source!I171, 2)</f>
        <v>15.81</v>
      </c>
    </row>
    <row r="295" spans="1:27" ht="14.25" x14ac:dyDescent="0.2">
      <c r="A295" s="21"/>
      <c r="B295" s="22"/>
      <c r="C295" s="22" t="s">
        <v>451</v>
      </c>
      <c r="D295" s="24"/>
      <c r="E295" s="23"/>
      <c r="F295" s="26">
        <f>Source!AM171</f>
        <v>757.55</v>
      </c>
      <c r="G295" s="25" t="str">
        <f>Source!DE171</f>
        <v/>
      </c>
      <c r="H295" s="23">
        <f>Source!AV171</f>
        <v>1.1919999999999999</v>
      </c>
      <c r="I295" s="27">
        <f>ROUND((Source!AD171*Source!AV171)*Source!I171, 2)</f>
        <v>849.19</v>
      </c>
      <c r="J295" s="23">
        <f>IF(Source!BB171&lt;&gt; 0, Source!BB171, 1)</f>
        <v>7.49</v>
      </c>
      <c r="K295" s="27">
        <f>Source!Q171</f>
        <v>6360.43</v>
      </c>
    </row>
    <row r="296" spans="1:27" ht="14.25" x14ac:dyDescent="0.2">
      <c r="A296" s="21"/>
      <c r="B296" s="22"/>
      <c r="C296" s="22" t="s">
        <v>452</v>
      </c>
      <c r="D296" s="24"/>
      <c r="E296" s="23"/>
      <c r="F296" s="26">
        <f>Source!AN171</f>
        <v>140.47999999999999</v>
      </c>
      <c r="G296" s="25" t="str">
        <f>Source!DF171</f>
        <v/>
      </c>
      <c r="H296" s="23">
        <f>Source!AV171</f>
        <v>1.1919999999999999</v>
      </c>
      <c r="I296" s="33">
        <f>ROUND((Source!AE171*Source!AV171)*Source!I171, 2)</f>
        <v>157.47</v>
      </c>
      <c r="J296" s="23">
        <f>IF(Source!BS171&lt;&gt; 0, Source!BS171, 1)</f>
        <v>17.46</v>
      </c>
      <c r="K296" s="33">
        <f>Source!R171</f>
        <v>2749.49</v>
      </c>
      <c r="W296" s="37">
        <f>ROUND((Source!AE171*Source!AV171)*Source!I171, 2)</f>
        <v>157.47</v>
      </c>
    </row>
    <row r="297" spans="1:27" ht="14.25" x14ac:dyDescent="0.2">
      <c r="A297" s="21"/>
      <c r="B297" s="22"/>
      <c r="C297" s="22" t="s">
        <v>453</v>
      </c>
      <c r="D297" s="24" t="s">
        <v>454</v>
      </c>
      <c r="E297" s="23">
        <f>Source!DN171</f>
        <v>98</v>
      </c>
      <c r="F297" s="26"/>
      <c r="G297" s="25"/>
      <c r="H297" s="23"/>
      <c r="I297" s="27">
        <f>SUM(Q292:Q296)</f>
        <v>15.49</v>
      </c>
      <c r="J297" s="23">
        <f>Source!BZ171</f>
        <v>97</v>
      </c>
      <c r="K297" s="27">
        <f>SUM(R292:R296)</f>
        <v>267.69</v>
      </c>
    </row>
    <row r="298" spans="1:27" ht="14.25" x14ac:dyDescent="0.2">
      <c r="A298" s="21"/>
      <c r="B298" s="22"/>
      <c r="C298" s="22" t="s">
        <v>455</v>
      </c>
      <c r="D298" s="24" t="s">
        <v>454</v>
      </c>
      <c r="E298" s="23">
        <f>Source!DO171</f>
        <v>77</v>
      </c>
      <c r="F298" s="26"/>
      <c r="G298" s="25"/>
      <c r="H298" s="23"/>
      <c r="I298" s="27">
        <f>SUM(S292:S297)</f>
        <v>12.17</v>
      </c>
      <c r="J298" s="23">
        <f>Source!CA171</f>
        <v>54</v>
      </c>
      <c r="K298" s="27">
        <f>SUM(T292:T297)</f>
        <v>149.02000000000001</v>
      </c>
    </row>
    <row r="299" spans="1:27" ht="14.25" x14ac:dyDescent="0.2">
      <c r="A299" s="21"/>
      <c r="B299" s="22"/>
      <c r="C299" s="22" t="s">
        <v>456</v>
      </c>
      <c r="D299" s="24" t="s">
        <v>454</v>
      </c>
      <c r="E299" s="23">
        <f>175</f>
        <v>175</v>
      </c>
      <c r="F299" s="26"/>
      <c r="G299" s="25"/>
      <c r="H299" s="23"/>
      <c r="I299" s="27">
        <f>SUM(U292:U298)</f>
        <v>275.57</v>
      </c>
      <c r="J299" s="23">
        <f>167</f>
        <v>167</v>
      </c>
      <c r="K299" s="27">
        <f>SUM(V292:V298)</f>
        <v>4591.6499999999996</v>
      </c>
    </row>
    <row r="300" spans="1:27" ht="14.25" x14ac:dyDescent="0.2">
      <c r="A300" s="21"/>
      <c r="B300" s="22"/>
      <c r="C300" s="22" t="s">
        <v>457</v>
      </c>
      <c r="D300" s="24" t="s">
        <v>458</v>
      </c>
      <c r="E300" s="23">
        <f>Source!AQ171</f>
        <v>1.38</v>
      </c>
      <c r="F300" s="26"/>
      <c r="G300" s="25" t="str">
        <f>Source!DI171</f>
        <v/>
      </c>
      <c r="H300" s="23">
        <f>Source!AV171</f>
        <v>1.1919999999999999</v>
      </c>
      <c r="I300" s="27">
        <f>Source!U171</f>
        <v>1.5469368335999998</v>
      </c>
      <c r="J300" s="23"/>
      <c r="K300" s="27"/>
    </row>
    <row r="301" spans="1:27" ht="15" x14ac:dyDescent="0.25">
      <c r="A301" s="41"/>
      <c r="B301" s="41"/>
      <c r="C301" s="41"/>
      <c r="D301" s="41"/>
      <c r="E301" s="41"/>
      <c r="F301" s="41"/>
      <c r="G301" s="41"/>
      <c r="H301" s="68">
        <f>I294+I295+I297+I298+I299</f>
        <v>1168.23</v>
      </c>
      <c r="I301" s="68"/>
      <c r="J301" s="68">
        <f>K294+K295+K297+K298+K299</f>
        <v>11644.76</v>
      </c>
      <c r="K301" s="68"/>
      <c r="O301" s="42">
        <f>H301</f>
        <v>1168.23</v>
      </c>
      <c r="P301" s="42">
        <f>J301</f>
        <v>11644.76</v>
      </c>
      <c r="X301" s="37">
        <f>IF(Source!BI171&lt;=1,I294+I295+I297+I298+I299, 0)</f>
        <v>1168.23</v>
      </c>
      <c r="Y301" s="37">
        <f>IF(Source!BI171=2,I294+I295+I297+I298+I299, 0)</f>
        <v>0</v>
      </c>
      <c r="Z301" s="37">
        <f>IF(Source!BI171=3,I294+I295+I297+I298+I299, 0)</f>
        <v>0</v>
      </c>
      <c r="AA301" s="37">
        <f>IF(Source!BI171=4,I294+I295+I297+I298+I299, 0)</f>
        <v>0</v>
      </c>
    </row>
    <row r="302" spans="1:27" ht="85.5" x14ac:dyDescent="0.2">
      <c r="A302" s="21" t="str">
        <f>Source!E172</f>
        <v>35</v>
      </c>
      <c r="B302" s="22" t="str">
        <f>Source!F172</f>
        <v>15.1-28-1</v>
      </c>
      <c r="C302" s="22" t="str">
        <f>Source!G172</f>
        <v>ПЕРЕВОЗКА ГРУНТА ИЗ-ПОД ЗДАНИЙ И КОММУНИКАЦИЙ НА РАССТОЯНИЕ 28 КМ АВТОСАМОСВАЛАМИ ГРУЗОПОДЪЕМНОСТЬЮ ДО 16Т, ПЕРЕВОЗКА ДО 28 КМ</v>
      </c>
      <c r="D302" s="24" t="str">
        <f>Source!H172</f>
        <v>м3</v>
      </c>
      <c r="E302" s="23">
        <f>Source!I172</f>
        <v>94.040999999999997</v>
      </c>
      <c r="F302" s="26"/>
      <c r="G302" s="25"/>
      <c r="H302" s="23"/>
      <c r="I302" s="27"/>
      <c r="J302" s="23"/>
      <c r="K302" s="27"/>
      <c r="Q302" s="37">
        <f>ROUND((Source!DN172/100)*ROUND((Source!AF172*Source!AV172)*Source!I172, 2), 2)</f>
        <v>0</v>
      </c>
      <c r="R302" s="37">
        <f>Source!X172</f>
        <v>0</v>
      </c>
      <c r="S302" s="37">
        <f>ROUND((Source!DO172/100)*ROUND((Source!AF172*Source!AV172)*Source!I172, 2), 2)</f>
        <v>0</v>
      </c>
      <c r="T302" s="37">
        <f>Source!Y172</f>
        <v>0</v>
      </c>
      <c r="U302" s="37">
        <f>ROUND((175/100)*ROUND((Source!AE172*Source!AV172)*Source!I172, 2), 2)</f>
        <v>0</v>
      </c>
      <c r="V302" s="37">
        <f>ROUND((167/100)*ROUND(Source!CS172*Source!I172, 2), 2)</f>
        <v>0</v>
      </c>
    </row>
    <row r="303" spans="1:27" x14ac:dyDescent="0.2">
      <c r="C303" s="34" t="str">
        <f>"Объем: "&amp;Source!I172&amp;"="&amp;Source!I171&amp;"*"&amp;"100"</f>
        <v>Объем: 94,041=0,94041*100</v>
      </c>
    </row>
    <row r="304" spans="1:27" ht="14.25" x14ac:dyDescent="0.2">
      <c r="A304" s="21"/>
      <c r="B304" s="22"/>
      <c r="C304" s="22" t="s">
        <v>451</v>
      </c>
      <c r="D304" s="24"/>
      <c r="E304" s="23"/>
      <c r="F304" s="26">
        <f>Source!AM172</f>
        <v>71.319999999999993</v>
      </c>
      <c r="G304" s="25" t="str">
        <f>Source!DE172</f>
        <v/>
      </c>
      <c r="H304" s="23">
        <f>Source!AV172</f>
        <v>1</v>
      </c>
      <c r="I304" s="27">
        <f>ROUND((Source!AD172*Source!AV172)*Source!I172, 2)</f>
        <v>6707</v>
      </c>
      <c r="J304" s="23">
        <f>IF(Source!BB172&lt;&gt; 0, Source!BB172, 1)</f>
        <v>8.7799999999999994</v>
      </c>
      <c r="K304" s="27">
        <f>Source!Q172</f>
        <v>58887.5</v>
      </c>
    </row>
    <row r="305" spans="1:32" ht="15" x14ac:dyDescent="0.25">
      <c r="A305" s="41"/>
      <c r="B305" s="41"/>
      <c r="C305" s="41"/>
      <c r="D305" s="41"/>
      <c r="E305" s="41"/>
      <c r="F305" s="41"/>
      <c r="G305" s="41"/>
      <c r="H305" s="68">
        <f>I304</f>
        <v>6707</v>
      </c>
      <c r="I305" s="68"/>
      <c r="J305" s="68">
        <f>K304</f>
        <v>58887.5</v>
      </c>
      <c r="K305" s="68"/>
      <c r="O305" s="42">
        <f>H305</f>
        <v>6707</v>
      </c>
      <c r="P305" s="42">
        <f>J305</f>
        <v>58887.5</v>
      </c>
      <c r="X305" s="37">
        <f>IF(Source!BI172&lt;=1,I304, 0)</f>
        <v>0</v>
      </c>
      <c r="Y305" s="37">
        <f>IF(Source!BI172=2,I304, 0)</f>
        <v>0</v>
      </c>
      <c r="Z305" s="37">
        <f>IF(Source!BI172=3,I304, 0)</f>
        <v>0</v>
      </c>
      <c r="AA305" s="37">
        <f>IF(Source!BI172=4,I304, 0)</f>
        <v>6707</v>
      </c>
    </row>
    <row r="306" spans="1:32" ht="99.75" x14ac:dyDescent="0.2">
      <c r="A306" s="21" t="str">
        <f>Source!E173</f>
        <v>36</v>
      </c>
      <c r="B306" s="22" t="str">
        <f>Source!F173</f>
        <v>15.1-0-9</v>
      </c>
      <c r="C306" s="22" t="str">
        <f>Source!G173</f>
        <v>РАЗМЕЩЕНИЕ ГРУНТОВ, ПОЛУЧЕННЫХ В РЕЗУЛЬТАТЕ ПРОИЗВОДСТВА ЗЕМЛЯНЫХ РАБОТ, НЕ ИСПОЛЬЗУЕМЫХ ДЛЯ ОБРАТНОЙ ЗАСЫПКИ: ГРУНТЫ НЕЗАМУСОРЕННЫЕ ЭКОЛОГИЧЕСКИ ЧИСТЫЕ</v>
      </c>
      <c r="D306" s="24" t="str">
        <f>Source!H173</f>
        <v>т</v>
      </c>
      <c r="E306" s="23">
        <f>Source!I173</f>
        <v>141.0615</v>
      </c>
      <c r="F306" s="26"/>
      <c r="G306" s="25"/>
      <c r="H306" s="23"/>
      <c r="I306" s="27"/>
      <c r="J306" s="23"/>
      <c r="K306" s="27"/>
      <c r="Q306" s="37">
        <f>ROUND((Source!DN173/100)*ROUND((Source!AF173*Source!AV173)*Source!I173, 2), 2)</f>
        <v>0</v>
      </c>
      <c r="R306" s="37">
        <f>Source!X173</f>
        <v>0</v>
      </c>
      <c r="S306" s="37">
        <f>ROUND((Source!DO173/100)*ROUND((Source!AF173*Source!AV173)*Source!I173, 2), 2)</f>
        <v>0</v>
      </c>
      <c r="T306" s="37">
        <f>Source!Y173</f>
        <v>0</v>
      </c>
      <c r="U306" s="37">
        <f>ROUND((175/100)*ROUND((Source!AE173*Source!AV173)*Source!I173, 2), 2)</f>
        <v>0</v>
      </c>
      <c r="V306" s="37">
        <f>ROUND((167/100)*ROUND(Source!CS173*Source!I173, 2), 2)</f>
        <v>0</v>
      </c>
    </row>
    <row r="307" spans="1:32" x14ac:dyDescent="0.2">
      <c r="C307" s="34" t="str">
        <f>"Объем: "&amp;Source!I173&amp;"="&amp;Source!I172&amp;"*"&amp;"1,5"</f>
        <v>Объем: 141,0615=94,041*1,5</v>
      </c>
    </row>
    <row r="308" spans="1:32" ht="14.25" x14ac:dyDescent="0.2">
      <c r="A308" s="21"/>
      <c r="B308" s="22"/>
      <c r="C308" s="22" t="s">
        <v>451</v>
      </c>
      <c r="D308" s="24"/>
      <c r="E308" s="23"/>
      <c r="F308" s="26">
        <f>Source!AM173</f>
        <v>43.28</v>
      </c>
      <c r="G308" s="25" t="str">
        <f>Source!DE173</f>
        <v/>
      </c>
      <c r="H308" s="23">
        <f>Source!AV173</f>
        <v>1</v>
      </c>
      <c r="I308" s="27">
        <f>ROUND((Source!AD173*Source!AV173)*Source!I173, 2)</f>
        <v>6105.14</v>
      </c>
      <c r="J308" s="23">
        <f>IF(Source!BB173&lt;&gt; 0, Source!BB173, 1)</f>
        <v>2.09</v>
      </c>
      <c r="K308" s="27">
        <f>Source!Q173</f>
        <v>12759.75</v>
      </c>
    </row>
    <row r="309" spans="1:32" ht="15" x14ac:dyDescent="0.25">
      <c r="A309" s="41"/>
      <c r="B309" s="41"/>
      <c r="C309" s="41"/>
      <c r="D309" s="41"/>
      <c r="E309" s="41"/>
      <c r="F309" s="41"/>
      <c r="G309" s="41"/>
      <c r="H309" s="68">
        <f>I308</f>
        <v>6105.14</v>
      </c>
      <c r="I309" s="68"/>
      <c r="J309" s="68">
        <f>K308</f>
        <v>12759.75</v>
      </c>
      <c r="K309" s="68"/>
      <c r="O309" s="42">
        <f>H309</f>
        <v>6105.14</v>
      </c>
      <c r="P309" s="42">
        <f>J309</f>
        <v>12759.75</v>
      </c>
      <c r="X309" s="37">
        <f>IF(Source!BI173&lt;=1,I308, 0)</f>
        <v>0</v>
      </c>
      <c r="Y309" s="37">
        <f>IF(Source!BI173=2,I308, 0)</f>
        <v>0</v>
      </c>
      <c r="Z309" s="37">
        <f>IF(Source!BI173=3,I308, 0)</f>
        <v>0</v>
      </c>
      <c r="AA309" s="37">
        <f>IF(Source!BI173=4,I308, 0)</f>
        <v>6105.14</v>
      </c>
    </row>
    <row r="310" spans="1:32" ht="71.25" x14ac:dyDescent="0.2">
      <c r="A310" s="21" t="str">
        <f>Source!E174</f>
        <v>37</v>
      </c>
      <c r="B310" s="22" t="str">
        <f>Source!F174</f>
        <v>15.1-28-5</v>
      </c>
      <c r="C310" s="22" t="str">
        <f>Source!G174</f>
        <v>ПЕРЕВОЗКА СТРОИТЕЛЬНОГО МУСОРА НА РАССТОЯНИЕ 28 КМ АВТОСАМОСВАЛАМИ ГРУЗОПОДЪЕМНОСТЬЮ ДО 16 Т, ПЕРЕВОЗКА ДО 28 КМ</v>
      </c>
      <c r="D310" s="24" t="str">
        <f>Source!H174</f>
        <v>т</v>
      </c>
      <c r="E310" s="23">
        <f>Source!I174</f>
        <v>0.66900000000000004</v>
      </c>
      <c r="F310" s="26"/>
      <c r="G310" s="25"/>
      <c r="H310" s="23"/>
      <c r="I310" s="27"/>
      <c r="J310" s="23"/>
      <c r="K310" s="27"/>
      <c r="Q310" s="37">
        <f>ROUND((Source!DN174/100)*ROUND((Source!AF174*Source!AV174)*Source!I174, 2), 2)</f>
        <v>0</v>
      </c>
      <c r="R310" s="37">
        <f>Source!X174</f>
        <v>0</v>
      </c>
      <c r="S310" s="37">
        <f>ROUND((Source!DO174/100)*ROUND((Source!AF174*Source!AV174)*Source!I174, 2), 2)</f>
        <v>0</v>
      </c>
      <c r="T310" s="37">
        <f>Source!Y174</f>
        <v>0</v>
      </c>
      <c r="U310" s="37">
        <f>ROUND((175/100)*ROUND((Source!AE174*Source!AV174)*Source!I174, 2), 2)</f>
        <v>0</v>
      </c>
      <c r="V310" s="37">
        <f>ROUND((167/100)*ROUND(Source!CS174*Source!I174, 2), 2)</f>
        <v>0</v>
      </c>
    </row>
    <row r="311" spans="1:32" ht="14.25" x14ac:dyDescent="0.2">
      <c r="A311" s="21"/>
      <c r="B311" s="22"/>
      <c r="C311" s="22" t="s">
        <v>451</v>
      </c>
      <c r="D311" s="24"/>
      <c r="E311" s="23"/>
      <c r="F311" s="26">
        <f>Source!AM174</f>
        <v>58.32</v>
      </c>
      <c r="G311" s="25" t="str">
        <f>Source!DE174</f>
        <v/>
      </c>
      <c r="H311" s="23">
        <f>Source!AV174</f>
        <v>1</v>
      </c>
      <c r="I311" s="27">
        <f>ROUND((Source!AD174*Source!AV174)*Source!I174, 2)</f>
        <v>39.020000000000003</v>
      </c>
      <c r="J311" s="23">
        <f>IF(Source!BB174&lt;&gt; 0, Source!BB174, 1)</f>
        <v>7.62</v>
      </c>
      <c r="K311" s="27">
        <f>Source!Q174</f>
        <v>297.3</v>
      </c>
    </row>
    <row r="312" spans="1:32" ht="15" x14ac:dyDescent="0.25">
      <c r="A312" s="41"/>
      <c r="B312" s="41"/>
      <c r="C312" s="41"/>
      <c r="D312" s="41"/>
      <c r="E312" s="41"/>
      <c r="F312" s="41"/>
      <c r="G312" s="41"/>
      <c r="H312" s="68">
        <f>I311</f>
        <v>39.020000000000003</v>
      </c>
      <c r="I312" s="68"/>
      <c r="J312" s="68">
        <f>K311</f>
        <v>297.3</v>
      </c>
      <c r="K312" s="68"/>
      <c r="O312" s="42">
        <f>H312</f>
        <v>39.020000000000003</v>
      </c>
      <c r="P312" s="42">
        <f>J312</f>
        <v>297.3</v>
      </c>
      <c r="X312" s="37">
        <f>IF(Source!BI174&lt;=1,I311, 0)</f>
        <v>0</v>
      </c>
      <c r="Y312" s="37">
        <f>IF(Source!BI174=2,I311, 0)</f>
        <v>0</v>
      </c>
      <c r="Z312" s="37">
        <f>IF(Source!BI174=3,I311, 0)</f>
        <v>0</v>
      </c>
      <c r="AA312" s="37">
        <f>IF(Source!BI174=4,I311, 0)</f>
        <v>39.020000000000003</v>
      </c>
    </row>
    <row r="313" spans="1:32" ht="28.5" x14ac:dyDescent="0.2">
      <c r="A313" s="21" t="str">
        <f>Source!E175</f>
        <v>38</v>
      </c>
      <c r="B313" s="22" t="str">
        <f>Source!F175</f>
        <v>15.1-0-1</v>
      </c>
      <c r="C313" s="22" t="str">
        <f>Source!G175</f>
        <v>СОДЕРЖАНИЕ СВАЛКИ ОТХОДОВ СТРОИТЕЛЬСТВА И СНОСА</v>
      </c>
      <c r="D313" s="24" t="str">
        <f>Source!H175</f>
        <v>т</v>
      </c>
      <c r="E313" s="23">
        <f>Source!I175</f>
        <v>0.66900000000000004</v>
      </c>
      <c r="F313" s="26"/>
      <c r="G313" s="25"/>
      <c r="H313" s="23"/>
      <c r="I313" s="27"/>
      <c r="J313" s="23"/>
      <c r="K313" s="27"/>
      <c r="Q313" s="37">
        <f>ROUND((Source!DN175/100)*ROUND((Source!AF175*Source!AV175)*Source!I175, 2), 2)</f>
        <v>0</v>
      </c>
      <c r="R313" s="37">
        <f>Source!X175</f>
        <v>0</v>
      </c>
      <c r="S313" s="37">
        <f>ROUND((Source!DO175/100)*ROUND((Source!AF175*Source!AV175)*Source!I175, 2), 2)</f>
        <v>0</v>
      </c>
      <c r="T313" s="37">
        <f>Source!Y175</f>
        <v>0</v>
      </c>
      <c r="U313" s="37">
        <f>ROUND((175/100)*ROUND((Source!AE175*Source!AV175)*Source!I175, 2), 2)</f>
        <v>0</v>
      </c>
      <c r="V313" s="37">
        <f>ROUND((167/100)*ROUND(Source!CS175*Source!I175, 2), 2)</f>
        <v>0</v>
      </c>
    </row>
    <row r="314" spans="1:32" ht="14.25" x14ac:dyDescent="0.2">
      <c r="A314" s="21"/>
      <c r="B314" s="22"/>
      <c r="C314" s="22" t="s">
        <v>451</v>
      </c>
      <c r="D314" s="24"/>
      <c r="E314" s="23"/>
      <c r="F314" s="26">
        <f>Source!AM175</f>
        <v>101</v>
      </c>
      <c r="G314" s="25" t="str">
        <f>Source!DE175</f>
        <v/>
      </c>
      <c r="H314" s="23">
        <f>Source!AV175</f>
        <v>1</v>
      </c>
      <c r="I314" s="27">
        <f>ROUND((Source!AD175*Source!AV175)*Source!I175, 2)</f>
        <v>67.569999999999993</v>
      </c>
      <c r="J314" s="23">
        <f>IF(Source!BB175&lt;&gt; 0, Source!BB175, 1)</f>
        <v>2.0099999999999998</v>
      </c>
      <c r="K314" s="27">
        <f>Source!Q175</f>
        <v>135.81</v>
      </c>
    </row>
    <row r="315" spans="1:32" ht="15" x14ac:dyDescent="0.25">
      <c r="A315" s="41"/>
      <c r="B315" s="41"/>
      <c r="C315" s="41"/>
      <c r="D315" s="41"/>
      <c r="E315" s="41"/>
      <c r="F315" s="41"/>
      <c r="G315" s="41"/>
      <c r="H315" s="68">
        <f>I314</f>
        <v>67.569999999999993</v>
      </c>
      <c r="I315" s="68"/>
      <c r="J315" s="68">
        <f>K314</f>
        <v>135.81</v>
      </c>
      <c r="K315" s="68"/>
      <c r="O315" s="42">
        <f>H315</f>
        <v>67.569999999999993</v>
      </c>
      <c r="P315" s="42">
        <f>J315</f>
        <v>135.81</v>
      </c>
      <c r="X315" s="37">
        <f>IF(Source!BI175&lt;=1,I314, 0)</f>
        <v>0</v>
      </c>
      <c r="Y315" s="37">
        <f>IF(Source!BI175=2,I314, 0)</f>
        <v>0</v>
      </c>
      <c r="Z315" s="37">
        <f>IF(Source!BI175=3,I314, 0)</f>
        <v>0</v>
      </c>
      <c r="AA315" s="37">
        <f>IF(Source!BI175=4,I314, 0)</f>
        <v>67.569999999999993</v>
      </c>
    </row>
    <row r="317" spans="1:32" ht="15" x14ac:dyDescent="0.25">
      <c r="A317" s="58" t="str">
        <f>CONCATENATE("Итого по разделу: ",IF(Source!G177&lt;&gt;"Новый раздел", Source!G177, ""))</f>
        <v>Итого по разделу: Байпасы: 2Ду400 - 18 п.м; 2Ду200 - 12 п.м</v>
      </c>
      <c r="B317" s="58"/>
      <c r="C317" s="58"/>
      <c r="D317" s="58"/>
      <c r="E317" s="58"/>
      <c r="F317" s="58"/>
      <c r="G317" s="58"/>
      <c r="H317" s="59">
        <f>SUM(O221:O316)</f>
        <v>372469.65</v>
      </c>
      <c r="I317" s="57"/>
      <c r="J317" s="59">
        <f>SUM(P221:P316)</f>
        <v>2794130.0899999994</v>
      </c>
      <c r="K317" s="57"/>
      <c r="AF317" s="35" t="str">
        <f>CONCATENATE("Итого по разделу: ",IF(Source!G177&lt;&gt;"Новый раздел", Source!G177, ""))</f>
        <v>Итого по разделу: Байпасы: 2Ду400 - 18 п.м; 2Ду200 - 12 п.м</v>
      </c>
    </row>
    <row r="320" spans="1:32" ht="16.5" x14ac:dyDescent="0.25">
      <c r="A320" s="67" t="str">
        <f>CONCATENATE("Раздел: ",IF(Source!G203&lt;&gt;"Новый раздел", Source!G203, ""))</f>
        <v>Раздел: Демонтаж байпаса</v>
      </c>
      <c r="B320" s="67"/>
      <c r="C320" s="67"/>
      <c r="D320" s="67"/>
      <c r="E320" s="67"/>
      <c r="F320" s="67"/>
      <c r="G320" s="67"/>
      <c r="H320" s="67"/>
      <c r="I320" s="67"/>
      <c r="J320" s="67"/>
      <c r="K320" s="67"/>
      <c r="AE320" s="20" t="str">
        <f>CONCATENATE("Раздел: ",IF(Source!G203&lt;&gt;"Новый раздел", Source!G203, ""))</f>
        <v>Раздел: Демонтаж байпаса</v>
      </c>
    </row>
    <row r="321" spans="1:27" ht="71.25" x14ac:dyDescent="0.2">
      <c r="A321" s="21" t="str">
        <f>Source!E207</f>
        <v>39</v>
      </c>
      <c r="B321" s="22" t="str">
        <f>Source!F207</f>
        <v>3.24-4-11</v>
      </c>
      <c r="C321" s="22" t="str">
        <f>Source!G207</f>
        <v>Демонтаж. НАДЗЕМНАЯ ПРОКЛАДКА ТРУБОПРОВОДОВ ПРИ УСЛОВНОМ ДАВЛЕНИИ 1,6 МПА, ТЕМПЕРАТУРЕ 150 ГР. C ДИАМЕТРОМ ТРУБ, ММ 400  92,56кг/м*36м=3,332т, м/к=0,257т</v>
      </c>
      <c r="D321" s="24" t="str">
        <f>Source!H207</f>
        <v>км</v>
      </c>
      <c r="E321" s="23">
        <f>Source!I207</f>
        <v>3.5999999999999997E-2</v>
      </c>
      <c r="F321" s="26"/>
      <c r="G321" s="25"/>
      <c r="H321" s="23"/>
      <c r="I321" s="27"/>
      <c r="J321" s="23"/>
      <c r="K321" s="27"/>
      <c r="Q321" s="37">
        <f>ROUND((Source!DN207/100)*ROUND((Source!AF207*Source!AV207)*Source!I207, 2), 2)</f>
        <v>476.73</v>
      </c>
      <c r="R321" s="37">
        <f>Source!X207</f>
        <v>7009.39</v>
      </c>
      <c r="S321" s="37">
        <f>ROUND((Source!DO207/100)*ROUND((Source!AF207*Source!AV207)*Source!I207, 2), 2)</f>
        <v>405.04</v>
      </c>
      <c r="T321" s="37">
        <f>Source!Y207</f>
        <v>3567.28</v>
      </c>
      <c r="U321" s="37">
        <f>ROUND((175/100)*ROUND((Source!AE207*Source!AV207)*Source!I207, 2), 2)</f>
        <v>247.12</v>
      </c>
      <c r="V321" s="37">
        <f>ROUND((167/100)*ROUND(Source!CS207*Source!I207, 2), 2)</f>
        <v>4117.3900000000003</v>
      </c>
    </row>
    <row r="322" spans="1:27" x14ac:dyDescent="0.2">
      <c r="C322" s="34" t="str">
        <f>"Объем: "&amp;Source!I207&amp;"=18*"&amp;"2/"&amp;"1000"</f>
        <v>Объем: 0,036=18*2/1000</v>
      </c>
    </row>
    <row r="323" spans="1:27" ht="14.25" x14ac:dyDescent="0.2">
      <c r="A323" s="21"/>
      <c r="B323" s="22"/>
      <c r="C323" s="22" t="s">
        <v>450</v>
      </c>
      <c r="D323" s="24"/>
      <c r="E323" s="23"/>
      <c r="F323" s="26">
        <f>Source!AO207</f>
        <v>13523.9</v>
      </c>
      <c r="G323" s="25" t="str">
        <f>Source!DG207</f>
        <v>*1,15*0,6</v>
      </c>
      <c r="H323" s="23">
        <f>Source!AV207</f>
        <v>1.0669999999999999</v>
      </c>
      <c r="I323" s="27">
        <f>ROUND((Source!AF207*Source!AV207)*Source!I207, 2)</f>
        <v>358.44</v>
      </c>
      <c r="J323" s="23">
        <f>IF(Source!BA207&lt;&gt; 0, Source!BA207, 1)</f>
        <v>17.46</v>
      </c>
      <c r="K323" s="27">
        <f>Source!S207</f>
        <v>6258.38</v>
      </c>
      <c r="W323" s="37">
        <f>ROUND((Source!AF207*Source!AV207)*Source!I207, 2)</f>
        <v>358.44</v>
      </c>
    </row>
    <row r="324" spans="1:27" ht="14.25" x14ac:dyDescent="0.2">
      <c r="A324" s="21"/>
      <c r="B324" s="22"/>
      <c r="C324" s="22" t="s">
        <v>451</v>
      </c>
      <c r="D324" s="24"/>
      <c r="E324" s="23"/>
      <c r="F324" s="26">
        <f>Source!AM207</f>
        <v>29963.07</v>
      </c>
      <c r="G324" s="25" t="str">
        <f>Source!DE207</f>
        <v>*1,15*0,6</v>
      </c>
      <c r="H324" s="23">
        <f>Source!AV207</f>
        <v>1.0669999999999999</v>
      </c>
      <c r="I324" s="27">
        <f>ROUND((Source!AD207*Source!AV207)*Source!I207, 2)</f>
        <v>794.15</v>
      </c>
      <c r="J324" s="23">
        <f>IF(Source!BB207&lt;&gt; 0, Source!BB207, 1)</f>
        <v>7.85</v>
      </c>
      <c r="K324" s="27">
        <f>Source!Q207</f>
        <v>6234.07</v>
      </c>
    </row>
    <row r="325" spans="1:27" ht="14.25" x14ac:dyDescent="0.2">
      <c r="A325" s="21"/>
      <c r="B325" s="22"/>
      <c r="C325" s="22" t="s">
        <v>452</v>
      </c>
      <c r="D325" s="24"/>
      <c r="E325" s="23"/>
      <c r="F325" s="26">
        <f>Source!AN207</f>
        <v>5327.76</v>
      </c>
      <c r="G325" s="25" t="str">
        <f>Source!DF207</f>
        <v>*1,15*0,6</v>
      </c>
      <c r="H325" s="23">
        <f>Source!AV207</f>
        <v>1.0669999999999999</v>
      </c>
      <c r="I325" s="33">
        <f>ROUND((Source!AE207*Source!AV207)*Source!I207, 2)</f>
        <v>141.21</v>
      </c>
      <c r="J325" s="23">
        <f>IF(Source!BS207&lt;&gt; 0, Source!BS207, 1)</f>
        <v>17.46</v>
      </c>
      <c r="K325" s="33">
        <f>Source!R207</f>
        <v>2465.5</v>
      </c>
      <c r="W325" s="37">
        <f>ROUND((Source!AE207*Source!AV207)*Source!I207, 2)</f>
        <v>141.21</v>
      </c>
    </row>
    <row r="326" spans="1:27" ht="14.25" x14ac:dyDescent="0.2">
      <c r="A326" s="21"/>
      <c r="B326" s="22"/>
      <c r="C326" s="22" t="s">
        <v>453</v>
      </c>
      <c r="D326" s="24" t="s">
        <v>454</v>
      </c>
      <c r="E326" s="23">
        <f>Source!DN207</f>
        <v>133</v>
      </c>
      <c r="F326" s="26"/>
      <c r="G326" s="25"/>
      <c r="H326" s="23"/>
      <c r="I326" s="27">
        <f>SUM(Q321:Q325)</f>
        <v>476.73</v>
      </c>
      <c r="J326" s="23">
        <f>Source!BZ207</f>
        <v>112</v>
      </c>
      <c r="K326" s="27">
        <f>SUM(R321:R325)</f>
        <v>7009.39</v>
      </c>
    </row>
    <row r="327" spans="1:27" ht="14.25" x14ac:dyDescent="0.2">
      <c r="A327" s="21"/>
      <c r="B327" s="22"/>
      <c r="C327" s="22" t="s">
        <v>455</v>
      </c>
      <c r="D327" s="24" t="s">
        <v>454</v>
      </c>
      <c r="E327" s="23">
        <f>Source!DO207</f>
        <v>113</v>
      </c>
      <c r="F327" s="26"/>
      <c r="G327" s="25"/>
      <c r="H327" s="23"/>
      <c r="I327" s="27">
        <f>SUM(S321:S326)</f>
        <v>405.04</v>
      </c>
      <c r="J327" s="23">
        <f>Source!CA207</f>
        <v>57</v>
      </c>
      <c r="K327" s="27">
        <f>SUM(T321:T326)</f>
        <v>3567.28</v>
      </c>
    </row>
    <row r="328" spans="1:27" ht="14.25" x14ac:dyDescent="0.2">
      <c r="A328" s="21"/>
      <c r="B328" s="22"/>
      <c r="C328" s="22" t="s">
        <v>456</v>
      </c>
      <c r="D328" s="24" t="s">
        <v>454</v>
      </c>
      <c r="E328" s="23">
        <f>175</f>
        <v>175</v>
      </c>
      <c r="F328" s="26"/>
      <c r="G328" s="25"/>
      <c r="H328" s="23"/>
      <c r="I328" s="27">
        <f>SUM(U321:U327)</f>
        <v>247.12</v>
      </c>
      <c r="J328" s="23">
        <f>167</f>
        <v>167</v>
      </c>
      <c r="K328" s="27">
        <f>SUM(V321:V327)</f>
        <v>4117.3900000000003</v>
      </c>
    </row>
    <row r="329" spans="1:27" ht="14.25" x14ac:dyDescent="0.2">
      <c r="A329" s="21"/>
      <c r="B329" s="22"/>
      <c r="C329" s="22" t="s">
        <v>457</v>
      </c>
      <c r="D329" s="24" t="s">
        <v>458</v>
      </c>
      <c r="E329" s="23">
        <f>Source!AQ207</f>
        <v>1010</v>
      </c>
      <c r="F329" s="26"/>
      <c r="G329" s="25" t="str">
        <f>Source!DI207</f>
        <v>*1,15*0,6</v>
      </c>
      <c r="H329" s="23">
        <f>Source!AV207</f>
        <v>1.0669999999999999</v>
      </c>
      <c r="I329" s="27">
        <f>Source!U207</f>
        <v>26.769322799999994</v>
      </c>
      <c r="J329" s="23"/>
      <c r="K329" s="27"/>
    </row>
    <row r="330" spans="1:27" ht="15" x14ac:dyDescent="0.25">
      <c r="A330" s="41"/>
      <c r="B330" s="41"/>
      <c r="C330" s="41"/>
      <c r="D330" s="41"/>
      <c r="E330" s="41"/>
      <c r="F330" s="41"/>
      <c r="G330" s="41"/>
      <c r="H330" s="68">
        <f>I323+I324+I326+I327+I328</f>
        <v>2281.48</v>
      </c>
      <c r="I330" s="68"/>
      <c r="J330" s="68">
        <f>K323+K324+K326+K327+K328</f>
        <v>27186.51</v>
      </c>
      <c r="K330" s="68"/>
      <c r="O330" s="42">
        <f>H330</f>
        <v>2281.48</v>
      </c>
      <c r="P330" s="42">
        <f>J330</f>
        <v>27186.51</v>
      </c>
      <c r="X330" s="37">
        <f>IF(Source!BI207&lt;=1,I323+I324+I326+I327+I328, 0)</f>
        <v>2281.48</v>
      </c>
      <c r="Y330" s="37">
        <f>IF(Source!BI207=2,I323+I324+I326+I327+I328, 0)</f>
        <v>0</v>
      </c>
      <c r="Z330" s="37">
        <f>IF(Source!BI207=3,I323+I324+I326+I327+I328, 0)</f>
        <v>0</v>
      </c>
      <c r="AA330" s="37">
        <f>IF(Source!BI207=4,I323+I324+I326+I327+I328, 0)</f>
        <v>0</v>
      </c>
    </row>
    <row r="331" spans="1:27" ht="71.25" x14ac:dyDescent="0.2">
      <c r="A331" s="21" t="str">
        <f>Source!E208</f>
        <v>40</v>
      </c>
      <c r="B331" s="22" t="str">
        <f>Source!F208</f>
        <v>3.24-4-7</v>
      </c>
      <c r="C331" s="22" t="str">
        <f>Source!G208</f>
        <v>Демонтаж.  НАДЗЕМНАЯ ПРОКЛАДКА ТРУБОПРОВОДОВ ПРИ УСЛОВНОМ ДАВЛЕНИИ 1,6 МПА, ТЕМПЕРАТУРЕ 150 ГР. C ДИАМЕТРОМ ТРУБ, ММ 200   31,52кг/м*24м=0,756т, м/к=0,112т</v>
      </c>
      <c r="D331" s="24" t="str">
        <f>Source!H208</f>
        <v>км</v>
      </c>
      <c r="E331" s="23">
        <f>Source!I208</f>
        <v>2.4E-2</v>
      </c>
      <c r="F331" s="26"/>
      <c r="G331" s="25"/>
      <c r="H331" s="23"/>
      <c r="I331" s="27"/>
      <c r="J331" s="23"/>
      <c r="K331" s="27"/>
      <c r="Q331" s="37">
        <f>ROUND((Source!DN208/100)*ROUND((Source!AF208*Source!AV208)*Source!I208, 2), 2)</f>
        <v>194.19</v>
      </c>
      <c r="R331" s="37">
        <f>Source!X208</f>
        <v>2855.19</v>
      </c>
      <c r="S331" s="37">
        <f>ROUND((Source!DO208/100)*ROUND((Source!AF208*Source!AV208)*Source!I208, 2), 2)</f>
        <v>164.99</v>
      </c>
      <c r="T331" s="37">
        <f>Source!Y208</f>
        <v>1453.09</v>
      </c>
      <c r="U331" s="37">
        <f>ROUND((175/100)*ROUND((Source!AE208*Source!AV208)*Source!I208, 2), 2)</f>
        <v>63.12</v>
      </c>
      <c r="V331" s="37">
        <f>ROUND((167/100)*ROUND(Source!CS208*Source!I208, 2), 2)</f>
        <v>1051.6500000000001</v>
      </c>
    </row>
    <row r="332" spans="1:27" x14ac:dyDescent="0.2">
      <c r="C332" s="34" t="str">
        <f>"Объем: "&amp;Source!I208&amp;"=12*"&amp;"2/"&amp;"1000"</f>
        <v>Объем: 0,024=12*2/1000</v>
      </c>
    </row>
    <row r="333" spans="1:27" ht="14.25" x14ac:dyDescent="0.2">
      <c r="A333" s="21"/>
      <c r="B333" s="22"/>
      <c r="C333" s="22" t="s">
        <v>450</v>
      </c>
      <c r="D333" s="24"/>
      <c r="E333" s="23"/>
      <c r="F333" s="26">
        <f>Source!AO208</f>
        <v>8263.2000000000007</v>
      </c>
      <c r="G333" s="25" t="str">
        <f>Source!DG208</f>
        <v>*1,15*0,6</v>
      </c>
      <c r="H333" s="23">
        <f>Source!AV208</f>
        <v>1.0669999999999999</v>
      </c>
      <c r="I333" s="27">
        <f>ROUND((Source!AF208*Source!AV208)*Source!I208, 2)</f>
        <v>146.01</v>
      </c>
      <c r="J333" s="23">
        <f>IF(Source!BA208&lt;&gt; 0, Source!BA208, 1)</f>
        <v>17.46</v>
      </c>
      <c r="K333" s="27">
        <f>Source!S208</f>
        <v>2549.2800000000002</v>
      </c>
      <c r="W333" s="37">
        <f>ROUND((Source!AF208*Source!AV208)*Source!I208, 2)</f>
        <v>146.01</v>
      </c>
    </row>
    <row r="334" spans="1:27" ht="14.25" x14ac:dyDescent="0.2">
      <c r="A334" s="21"/>
      <c r="B334" s="22"/>
      <c r="C334" s="22" t="s">
        <v>451</v>
      </c>
      <c r="D334" s="24"/>
      <c r="E334" s="23"/>
      <c r="F334" s="26">
        <f>Source!AM208</f>
        <v>13194.73</v>
      </c>
      <c r="G334" s="25" t="str">
        <f>Source!DE208</f>
        <v>*1,15*0,6</v>
      </c>
      <c r="H334" s="23">
        <f>Source!AV208</f>
        <v>1.0669999999999999</v>
      </c>
      <c r="I334" s="27">
        <f>ROUND((Source!AD208*Source!AV208)*Source!I208, 2)</f>
        <v>233.14</v>
      </c>
      <c r="J334" s="23">
        <f>IF(Source!BB208&lt;&gt; 0, Source!BB208, 1)</f>
        <v>7.65</v>
      </c>
      <c r="K334" s="27">
        <f>Source!Q208</f>
        <v>1783.56</v>
      </c>
    </row>
    <row r="335" spans="1:27" ht="14.25" x14ac:dyDescent="0.2">
      <c r="A335" s="21"/>
      <c r="B335" s="22"/>
      <c r="C335" s="22" t="s">
        <v>452</v>
      </c>
      <c r="D335" s="24"/>
      <c r="E335" s="23"/>
      <c r="F335" s="26">
        <f>Source!AN208</f>
        <v>2041.2</v>
      </c>
      <c r="G335" s="25" t="str">
        <f>Source!DF208</f>
        <v>*1,15*0,6</v>
      </c>
      <c r="H335" s="23">
        <f>Source!AV208</f>
        <v>1.0669999999999999</v>
      </c>
      <c r="I335" s="33">
        <f>ROUND((Source!AE208*Source!AV208)*Source!I208, 2)</f>
        <v>36.07</v>
      </c>
      <c r="J335" s="23">
        <f>IF(Source!BS208&lt;&gt; 0, Source!BS208, 1)</f>
        <v>17.46</v>
      </c>
      <c r="K335" s="33">
        <f>Source!R208</f>
        <v>629.73</v>
      </c>
      <c r="W335" s="37">
        <f>ROUND((Source!AE208*Source!AV208)*Source!I208, 2)</f>
        <v>36.07</v>
      </c>
    </row>
    <row r="336" spans="1:27" ht="14.25" x14ac:dyDescent="0.2">
      <c r="A336" s="21"/>
      <c r="B336" s="22"/>
      <c r="C336" s="22" t="s">
        <v>453</v>
      </c>
      <c r="D336" s="24" t="s">
        <v>454</v>
      </c>
      <c r="E336" s="23">
        <f>Source!DN208</f>
        <v>133</v>
      </c>
      <c r="F336" s="26"/>
      <c r="G336" s="25"/>
      <c r="H336" s="23"/>
      <c r="I336" s="27">
        <f>SUM(Q331:Q335)</f>
        <v>194.19</v>
      </c>
      <c r="J336" s="23">
        <f>Source!BZ208</f>
        <v>112</v>
      </c>
      <c r="K336" s="27">
        <f>SUM(R331:R335)</f>
        <v>2855.19</v>
      </c>
    </row>
    <row r="337" spans="1:27" ht="14.25" x14ac:dyDescent="0.2">
      <c r="A337" s="21"/>
      <c r="B337" s="22"/>
      <c r="C337" s="22" t="s">
        <v>455</v>
      </c>
      <c r="D337" s="24" t="s">
        <v>454</v>
      </c>
      <c r="E337" s="23">
        <f>Source!DO208</f>
        <v>113</v>
      </c>
      <c r="F337" s="26"/>
      <c r="G337" s="25"/>
      <c r="H337" s="23"/>
      <c r="I337" s="27">
        <f>SUM(S331:S336)</f>
        <v>164.99</v>
      </c>
      <c r="J337" s="23">
        <f>Source!CA208</f>
        <v>57</v>
      </c>
      <c r="K337" s="27">
        <f>SUM(T331:T336)</f>
        <v>1453.09</v>
      </c>
    </row>
    <row r="338" spans="1:27" ht="14.25" x14ac:dyDescent="0.2">
      <c r="A338" s="21"/>
      <c r="B338" s="22"/>
      <c r="C338" s="22" t="s">
        <v>456</v>
      </c>
      <c r="D338" s="24" t="s">
        <v>454</v>
      </c>
      <c r="E338" s="23">
        <f>175</f>
        <v>175</v>
      </c>
      <c r="F338" s="26"/>
      <c r="G338" s="25"/>
      <c r="H338" s="23"/>
      <c r="I338" s="27">
        <f>SUM(U331:U337)</f>
        <v>63.12</v>
      </c>
      <c r="J338" s="23">
        <f>167</f>
        <v>167</v>
      </c>
      <c r="K338" s="27">
        <f>SUM(V331:V337)</f>
        <v>1051.6500000000001</v>
      </c>
    </row>
    <row r="339" spans="1:27" ht="14.25" x14ac:dyDescent="0.2">
      <c r="A339" s="21"/>
      <c r="B339" s="22"/>
      <c r="C339" s="22" t="s">
        <v>457</v>
      </c>
      <c r="D339" s="24" t="s">
        <v>458</v>
      </c>
      <c r="E339" s="23">
        <f>Source!AQ208</f>
        <v>626</v>
      </c>
      <c r="F339" s="26"/>
      <c r="G339" s="25" t="str">
        <f>Source!DI208</f>
        <v>*1,15*0,6</v>
      </c>
      <c r="H339" s="23">
        <f>Source!AV208</f>
        <v>1.0669999999999999</v>
      </c>
      <c r="I339" s="27">
        <f>Source!U208</f>
        <v>11.06111952</v>
      </c>
      <c r="J339" s="23"/>
      <c r="K339" s="27"/>
    </row>
    <row r="340" spans="1:27" ht="15" x14ac:dyDescent="0.25">
      <c r="A340" s="41"/>
      <c r="B340" s="41"/>
      <c r="C340" s="41"/>
      <c r="D340" s="41"/>
      <c r="E340" s="41"/>
      <c r="F340" s="41"/>
      <c r="G340" s="41"/>
      <c r="H340" s="68">
        <f>I333+I334+I336+I337+I338</f>
        <v>801.44999999999993</v>
      </c>
      <c r="I340" s="68"/>
      <c r="J340" s="68">
        <f>K333+K334+K336+K337+K338</f>
        <v>9692.77</v>
      </c>
      <c r="K340" s="68"/>
      <c r="O340" s="42">
        <f>H340</f>
        <v>801.44999999999993</v>
      </c>
      <c r="P340" s="42">
        <f>J340</f>
        <v>9692.77</v>
      </c>
      <c r="X340" s="37">
        <f>IF(Source!BI208&lt;=1,I333+I334+I336+I337+I338, 0)</f>
        <v>801.44999999999993</v>
      </c>
      <c r="Y340" s="37">
        <f>IF(Source!BI208=2,I333+I334+I336+I337+I338, 0)</f>
        <v>0</v>
      </c>
      <c r="Z340" s="37">
        <f>IF(Source!BI208=3,I333+I334+I336+I337+I338, 0)</f>
        <v>0</v>
      </c>
      <c r="AA340" s="37">
        <f>IF(Source!BI208=4,I333+I334+I336+I337+I338, 0)</f>
        <v>0</v>
      </c>
    </row>
    <row r="341" spans="1:27" ht="42.75" x14ac:dyDescent="0.2">
      <c r="A341" s="21" t="str">
        <f>Source!E209</f>
        <v>41</v>
      </c>
      <c r="B341" s="22" t="str">
        <f>Source!F209</f>
        <v>6.66-162-2</v>
      </c>
      <c r="C341" s="22" t="str">
        <f>Source!G209</f>
        <v>РАЗБОРКА ТЕПЛОВОЙ ИЗОЛЯЦИИ ИЗ ВАТЫ МИНЕРАЛЬНОЙ  (5,25+1,803)м3*0,2т/м3=1,411т</v>
      </c>
      <c r="D341" s="24" t="str">
        <f>Source!H209</f>
        <v>100 м2</v>
      </c>
      <c r="E341" s="23">
        <f>Source!I209</f>
        <v>0.97060000000000002</v>
      </c>
      <c r="F341" s="26"/>
      <c r="G341" s="25"/>
      <c r="H341" s="23"/>
      <c r="I341" s="27"/>
      <c r="J341" s="23"/>
      <c r="K341" s="27"/>
      <c r="Q341" s="37">
        <f>ROUND((Source!DN209/100)*ROUND((Source!AF209*Source!AV209)*Source!I209, 2), 2)</f>
        <v>274.86</v>
      </c>
      <c r="R341" s="37">
        <f>Source!X209</f>
        <v>4095.82</v>
      </c>
      <c r="S341" s="37">
        <f>ROUND((Source!DO209/100)*ROUND((Source!AF209*Source!AV209)*Source!I209, 2), 2)</f>
        <v>161.13</v>
      </c>
      <c r="T341" s="37">
        <f>Source!Y209</f>
        <v>1820.36</v>
      </c>
      <c r="U341" s="37">
        <f>ROUND((175/100)*ROUND((Source!AE209*Source!AV209)*Source!I209, 2), 2)</f>
        <v>0</v>
      </c>
      <c r="V341" s="37">
        <f>ROUND((167/100)*ROUND(Source!CS209*Source!I209, 2), 2)</f>
        <v>0</v>
      </c>
    </row>
    <row r="342" spans="1:27" x14ac:dyDescent="0.2">
      <c r="C342" s="34" t="str">
        <f>"Объем: "&amp;Source!I209&amp;"=(68,5+"&amp;"28,56)/"&amp;"100"</f>
        <v>Объем: 0,9706=(68,5+28,56)/100</v>
      </c>
    </row>
    <row r="343" spans="1:27" ht="14.25" x14ac:dyDescent="0.2">
      <c r="A343" s="21"/>
      <c r="B343" s="22"/>
      <c r="C343" s="22" t="s">
        <v>450</v>
      </c>
      <c r="D343" s="24"/>
      <c r="E343" s="23"/>
      <c r="F343" s="26">
        <f>Source!AO209</f>
        <v>208</v>
      </c>
      <c r="G343" s="25" t="str">
        <f>Source!DG209</f>
        <v>*1,1</v>
      </c>
      <c r="H343" s="23">
        <f>Source!AV209</f>
        <v>1.0669999999999999</v>
      </c>
      <c r="I343" s="27">
        <f>ROUND((Source!AF209*Source!AV209)*Source!I209, 2)</f>
        <v>236.95</v>
      </c>
      <c r="J343" s="23">
        <f>IF(Source!BA209&lt;&gt; 0, Source!BA209, 1)</f>
        <v>17.46</v>
      </c>
      <c r="K343" s="27">
        <f>Source!S209</f>
        <v>4137.1899999999996</v>
      </c>
      <c r="W343" s="37">
        <f>ROUND((Source!AF209*Source!AV209)*Source!I209, 2)</f>
        <v>236.95</v>
      </c>
    </row>
    <row r="344" spans="1:27" ht="14.25" x14ac:dyDescent="0.2">
      <c r="A344" s="21"/>
      <c r="B344" s="22"/>
      <c r="C344" s="22" t="s">
        <v>453</v>
      </c>
      <c r="D344" s="24" t="s">
        <v>454</v>
      </c>
      <c r="E344" s="23">
        <f>Source!DN209</f>
        <v>116</v>
      </c>
      <c r="F344" s="26"/>
      <c r="G344" s="25"/>
      <c r="H344" s="23"/>
      <c r="I344" s="27">
        <f>SUM(Q341:Q343)</f>
        <v>274.86</v>
      </c>
      <c r="J344" s="23">
        <f>Source!BZ209</f>
        <v>99</v>
      </c>
      <c r="K344" s="27">
        <f>SUM(R341:R343)</f>
        <v>4095.82</v>
      </c>
    </row>
    <row r="345" spans="1:27" ht="14.25" x14ac:dyDescent="0.2">
      <c r="A345" s="21"/>
      <c r="B345" s="22"/>
      <c r="C345" s="22" t="s">
        <v>455</v>
      </c>
      <c r="D345" s="24" t="s">
        <v>454</v>
      </c>
      <c r="E345" s="23">
        <f>Source!DO209</f>
        <v>68</v>
      </c>
      <c r="F345" s="26"/>
      <c r="G345" s="25"/>
      <c r="H345" s="23"/>
      <c r="I345" s="27">
        <f>SUM(S341:S344)</f>
        <v>161.13</v>
      </c>
      <c r="J345" s="23">
        <f>Source!CA209</f>
        <v>44</v>
      </c>
      <c r="K345" s="27">
        <f>SUM(T341:T344)</f>
        <v>1820.36</v>
      </c>
    </row>
    <row r="346" spans="1:27" ht="14.25" x14ac:dyDescent="0.2">
      <c r="A346" s="21"/>
      <c r="B346" s="22"/>
      <c r="C346" s="22" t="s">
        <v>457</v>
      </c>
      <c r="D346" s="24" t="s">
        <v>458</v>
      </c>
      <c r="E346" s="23">
        <f>Source!AQ209</f>
        <v>19.100000000000001</v>
      </c>
      <c r="F346" s="26"/>
      <c r="G346" s="25" t="str">
        <f>Source!DI209</f>
        <v>*1,1</v>
      </c>
      <c r="H346" s="23">
        <f>Source!AV209</f>
        <v>1.0669999999999999</v>
      </c>
      <c r="I346" s="27">
        <f>Source!U209</f>
        <v>21.758590502000001</v>
      </c>
      <c r="J346" s="23"/>
      <c r="K346" s="27"/>
    </row>
    <row r="347" spans="1:27" ht="15" x14ac:dyDescent="0.25">
      <c r="A347" s="41"/>
      <c r="B347" s="41"/>
      <c r="C347" s="41"/>
      <c r="D347" s="41"/>
      <c r="E347" s="41"/>
      <c r="F347" s="41"/>
      <c r="G347" s="41"/>
      <c r="H347" s="68">
        <f>I343+I344+I345</f>
        <v>672.94</v>
      </c>
      <c r="I347" s="68"/>
      <c r="J347" s="68">
        <f>K343+K344+K345</f>
        <v>10053.370000000001</v>
      </c>
      <c r="K347" s="68"/>
      <c r="O347" s="42">
        <f>H347</f>
        <v>672.94</v>
      </c>
      <c r="P347" s="42">
        <f>J347</f>
        <v>10053.370000000001</v>
      </c>
      <c r="X347" s="37">
        <f>IF(Source!BI209&lt;=1,I343+I344+I345, 0)</f>
        <v>672.94</v>
      </c>
      <c r="Y347" s="37">
        <f>IF(Source!BI209=2,I343+I344+I345, 0)</f>
        <v>0</v>
      </c>
      <c r="Z347" s="37">
        <f>IF(Source!BI209=3,I343+I344+I345, 0)</f>
        <v>0</v>
      </c>
      <c r="AA347" s="37">
        <f>IF(Source!BI209=4,I343+I344+I345, 0)</f>
        <v>0</v>
      </c>
    </row>
    <row r="348" spans="1:27" ht="85.5" x14ac:dyDescent="0.2">
      <c r="A348" s="21" t="str">
        <f>Source!E210</f>
        <v>42</v>
      </c>
      <c r="B348" s="22" t="str">
        <f>Source!F210</f>
        <v>3.26-52-1</v>
      </c>
      <c r="C348" s="22" t="str">
        <f>Source!G210</f>
        <v>Разборка.  ПОКРЫТИЕ ПОВЕРХНОСТИ ИЗОЛЯЦИИ ТРУБОПРОВОДОВ КОЖУХАМИ ИЗ ЛИСТОВ ОЦИНКОВАННОЙ СТАЛИ ТОЛЩИНОЙ 0,55 ММ  7,85кг/м2*97,06м2=0,762т</v>
      </c>
      <c r="D348" s="24" t="str">
        <f>Source!H210</f>
        <v>м2</v>
      </c>
      <c r="E348" s="23">
        <f>Source!I210</f>
        <v>97.06</v>
      </c>
      <c r="F348" s="26"/>
      <c r="G348" s="25"/>
      <c r="H348" s="23"/>
      <c r="I348" s="27"/>
      <c r="J348" s="23"/>
      <c r="K348" s="27"/>
      <c r="Q348" s="37">
        <f>ROUND((Source!DN210/100)*ROUND((Source!AF210*Source!AV210)*Source!I210, 2), 2)</f>
        <v>1786.64</v>
      </c>
      <c r="R348" s="37">
        <f>Source!X210</f>
        <v>26419.94</v>
      </c>
      <c r="S348" s="37">
        <f>ROUND((Source!DO210/100)*ROUND((Source!AF210*Source!AV210)*Source!I210, 2), 2)</f>
        <v>1330.86</v>
      </c>
      <c r="T348" s="37">
        <f>Source!Y210</f>
        <v>14005.75</v>
      </c>
      <c r="U348" s="37">
        <f>ROUND((175/100)*ROUND((Source!AE210*Source!AV210)*Source!I210, 2), 2)</f>
        <v>95.71</v>
      </c>
      <c r="V348" s="37">
        <f>ROUND((167/100)*ROUND(Source!CS210*Source!I210, 2), 2)</f>
        <v>1594.75</v>
      </c>
    </row>
    <row r="349" spans="1:27" x14ac:dyDescent="0.2">
      <c r="C349" s="34" t="str">
        <f>"Объем: "&amp;Source!I210&amp;"="&amp;Source!I209&amp;"*"&amp;"100"</f>
        <v>Объем: 97,06=0,9706*100</v>
      </c>
    </row>
    <row r="350" spans="1:27" ht="14.25" x14ac:dyDescent="0.2">
      <c r="A350" s="21"/>
      <c r="B350" s="22"/>
      <c r="C350" s="22" t="s">
        <v>450</v>
      </c>
      <c r="D350" s="24"/>
      <c r="E350" s="23"/>
      <c r="F350" s="26">
        <f>Source!AO210</f>
        <v>26</v>
      </c>
      <c r="G350" s="25" t="str">
        <f>Source!DG210</f>
        <v>*1,15*0,6</v>
      </c>
      <c r="H350" s="23">
        <f>Source!AV210</f>
        <v>1.0469999999999999</v>
      </c>
      <c r="I350" s="27">
        <f>ROUND((Source!AF210*Source!AV210)*Source!I210, 2)</f>
        <v>1823.1</v>
      </c>
      <c r="J350" s="23">
        <f>IF(Source!BA210&lt;&gt; 0, Source!BA210, 1)</f>
        <v>17.46</v>
      </c>
      <c r="K350" s="27">
        <f>Source!S210</f>
        <v>31831.25</v>
      </c>
      <c r="W350" s="37">
        <f>ROUND((Source!AF210*Source!AV210)*Source!I210, 2)</f>
        <v>1823.1</v>
      </c>
    </row>
    <row r="351" spans="1:27" ht="14.25" x14ac:dyDescent="0.2">
      <c r="A351" s="21"/>
      <c r="B351" s="22"/>
      <c r="C351" s="22" t="s">
        <v>451</v>
      </c>
      <c r="D351" s="24"/>
      <c r="E351" s="23"/>
      <c r="F351" s="26">
        <f>Source!AM210</f>
        <v>3.97</v>
      </c>
      <c r="G351" s="25" t="str">
        <f>Source!DE210</f>
        <v>*1,15*0,6</v>
      </c>
      <c r="H351" s="23">
        <f>Source!AV210</f>
        <v>1.0469999999999999</v>
      </c>
      <c r="I351" s="27">
        <f>ROUND((Source!AD210*Source!AV210)*Source!I210, 2)</f>
        <v>278.37</v>
      </c>
      <c r="J351" s="23">
        <f>IF(Source!BB210&lt;&gt; 0, Source!BB210, 1)</f>
        <v>7.72</v>
      </c>
      <c r="K351" s="27">
        <f>Source!Q210</f>
        <v>2149.04</v>
      </c>
    </row>
    <row r="352" spans="1:27" ht="14.25" x14ac:dyDescent="0.2">
      <c r="A352" s="21"/>
      <c r="B352" s="22"/>
      <c r="C352" s="22" t="s">
        <v>452</v>
      </c>
      <c r="D352" s="24"/>
      <c r="E352" s="23"/>
      <c r="F352" s="26">
        <f>Source!AN210</f>
        <v>0.78</v>
      </c>
      <c r="G352" s="25" t="str">
        <f>Source!DF210</f>
        <v>*1,15*0,6</v>
      </c>
      <c r="H352" s="23">
        <f>Source!AV210</f>
        <v>1.0469999999999999</v>
      </c>
      <c r="I352" s="33">
        <f>ROUND((Source!AE210*Source!AV210)*Source!I210, 2)</f>
        <v>54.69</v>
      </c>
      <c r="J352" s="23">
        <f>IF(Source!BS210&lt;&gt; 0, Source!BS210, 1)</f>
        <v>17.46</v>
      </c>
      <c r="K352" s="33">
        <f>Source!R210</f>
        <v>954.94</v>
      </c>
      <c r="W352" s="37">
        <f>ROUND((Source!AE210*Source!AV210)*Source!I210, 2)</f>
        <v>54.69</v>
      </c>
    </row>
    <row r="353" spans="1:27" ht="14.25" x14ac:dyDescent="0.2">
      <c r="A353" s="21"/>
      <c r="B353" s="22"/>
      <c r="C353" s="22" t="s">
        <v>453</v>
      </c>
      <c r="D353" s="24" t="s">
        <v>454</v>
      </c>
      <c r="E353" s="23">
        <f>Source!DN210</f>
        <v>98</v>
      </c>
      <c r="F353" s="26"/>
      <c r="G353" s="25"/>
      <c r="H353" s="23"/>
      <c r="I353" s="27">
        <f>SUM(Q348:Q352)</f>
        <v>1786.64</v>
      </c>
      <c r="J353" s="23">
        <f>Source!BZ210</f>
        <v>83</v>
      </c>
      <c r="K353" s="27">
        <f>SUM(R348:R352)</f>
        <v>26419.94</v>
      </c>
    </row>
    <row r="354" spans="1:27" ht="14.25" x14ac:dyDescent="0.2">
      <c r="A354" s="21"/>
      <c r="B354" s="22"/>
      <c r="C354" s="22" t="s">
        <v>455</v>
      </c>
      <c r="D354" s="24" t="s">
        <v>454</v>
      </c>
      <c r="E354" s="23">
        <f>Source!DO210</f>
        <v>73</v>
      </c>
      <c r="F354" s="26"/>
      <c r="G354" s="25"/>
      <c r="H354" s="23"/>
      <c r="I354" s="27">
        <f>SUM(S348:S353)</f>
        <v>1330.86</v>
      </c>
      <c r="J354" s="23">
        <f>Source!CA210</f>
        <v>44</v>
      </c>
      <c r="K354" s="27">
        <f>SUM(T348:T353)</f>
        <v>14005.75</v>
      </c>
    </row>
    <row r="355" spans="1:27" ht="14.25" x14ac:dyDescent="0.2">
      <c r="A355" s="21"/>
      <c r="B355" s="22"/>
      <c r="C355" s="22" t="s">
        <v>456</v>
      </c>
      <c r="D355" s="24" t="s">
        <v>454</v>
      </c>
      <c r="E355" s="23">
        <f>175</f>
        <v>175</v>
      </c>
      <c r="F355" s="26"/>
      <c r="G355" s="25"/>
      <c r="H355" s="23"/>
      <c r="I355" s="27">
        <f>SUM(U348:U354)</f>
        <v>95.71</v>
      </c>
      <c r="J355" s="23">
        <f>167</f>
        <v>167</v>
      </c>
      <c r="K355" s="27">
        <f>SUM(V348:V354)</f>
        <v>1594.75</v>
      </c>
    </row>
    <row r="356" spans="1:27" ht="14.25" x14ac:dyDescent="0.2">
      <c r="A356" s="21"/>
      <c r="B356" s="22"/>
      <c r="C356" s="22" t="s">
        <v>457</v>
      </c>
      <c r="D356" s="24" t="s">
        <v>458</v>
      </c>
      <c r="E356" s="23">
        <f>Source!AQ210</f>
        <v>2</v>
      </c>
      <c r="F356" s="26"/>
      <c r="G356" s="25" t="str">
        <f>Source!DI210</f>
        <v>*1,15*0,6</v>
      </c>
      <c r="H356" s="23">
        <f>Source!AV210</f>
        <v>1.0469999999999999</v>
      </c>
      <c r="I356" s="27">
        <f>Source!U210</f>
        <v>140.2381116</v>
      </c>
      <c r="J356" s="23"/>
      <c r="K356" s="27"/>
    </row>
    <row r="357" spans="1:27" ht="15" x14ac:dyDescent="0.25">
      <c r="A357" s="41"/>
      <c r="B357" s="41"/>
      <c r="C357" s="41"/>
      <c r="D357" s="41"/>
      <c r="E357" s="41"/>
      <c r="F357" s="41"/>
      <c r="G357" s="41"/>
      <c r="H357" s="68">
        <f>I350+I351+I353+I354+I355</f>
        <v>5314.6799999999994</v>
      </c>
      <c r="I357" s="68"/>
      <c r="J357" s="68">
        <f>K350+K351+K353+K354+K355</f>
        <v>76000.73</v>
      </c>
      <c r="K357" s="68"/>
      <c r="O357" s="42">
        <f>H357</f>
        <v>5314.6799999999994</v>
      </c>
      <c r="P357" s="42">
        <f>J357</f>
        <v>76000.73</v>
      </c>
      <c r="X357" s="37">
        <f>IF(Source!BI210&lt;=1,I350+I351+I353+I354+I355, 0)</f>
        <v>5314.6799999999994</v>
      </c>
      <c r="Y357" s="37">
        <f>IF(Source!BI210=2,I350+I351+I353+I354+I355, 0)</f>
        <v>0</v>
      </c>
      <c r="Z357" s="37">
        <f>IF(Source!BI210=3,I350+I351+I353+I354+I355, 0)</f>
        <v>0</v>
      </c>
      <c r="AA357" s="37">
        <f>IF(Source!BI210=4,I350+I351+I353+I354+I355, 0)</f>
        <v>0</v>
      </c>
    </row>
    <row r="358" spans="1:27" ht="42.75" x14ac:dyDescent="0.2">
      <c r="A358" s="21" t="str">
        <f>Source!E211</f>
        <v>43</v>
      </c>
      <c r="B358" s="22" t="str">
        <f>Source!F211</f>
        <v>3.7-46-1</v>
      </c>
      <c r="C358" s="22" t="str">
        <f>Source!G211</f>
        <v>Демонтаж.  УСТРОЙСТВО КАМЕР СО СТЕНКАМИ ИЗ БЕТОННЫХ БЛОКОВ  57,1488м3*2,5т/м3=142,872т</v>
      </c>
      <c r="D358" s="24" t="str">
        <f>Source!H211</f>
        <v>100 м3</v>
      </c>
      <c r="E358" s="23">
        <f>Source!I211</f>
        <v>0.571488</v>
      </c>
      <c r="F358" s="26"/>
      <c r="G358" s="25"/>
      <c r="H358" s="23"/>
      <c r="I358" s="27"/>
      <c r="J358" s="23"/>
      <c r="K358" s="27"/>
      <c r="Q358" s="37">
        <f>ROUND((Source!DN211/100)*ROUND((Source!AF211*Source!AV211)*Source!I211, 2), 2)</f>
        <v>9040.5</v>
      </c>
      <c r="R358" s="37">
        <f>Source!X211</f>
        <v>130050.24000000001</v>
      </c>
      <c r="S358" s="37">
        <f>ROUND((Source!DO211/100)*ROUND((Source!AF211*Source!AV211)*Source!I211, 2), 2)</f>
        <v>6766.16</v>
      </c>
      <c r="T358" s="37">
        <f>Source!Y211</f>
        <v>59564.99</v>
      </c>
      <c r="U358" s="37">
        <f>ROUND((175/100)*ROUND((Source!AE211*Source!AV211)*Source!I211, 2), 2)</f>
        <v>104.67</v>
      </c>
      <c r="V358" s="37">
        <f>ROUND((167/100)*ROUND(Source!CS211*Source!I211, 2), 2)</f>
        <v>1743.91</v>
      </c>
    </row>
    <row r="359" spans="1:27" ht="38.25" x14ac:dyDescent="0.2">
      <c r="C359" s="34" t="str">
        <f>"Объем: "&amp;Source!I211&amp;"=(((4,2+"&amp;"4,2)*"&amp;"2*"&amp;"2*"&amp;"0,4+"&amp;"4,2*"&amp;"4,2*"&amp;"0,22*"&amp;"2)*"&amp;"2+"&amp;"((3,2+"&amp;"3,2)*"&amp;"2*"&amp;"2*"&amp;"0,4+"&amp;"3,2*"&amp;"3,2*"&amp;"0,22*"&amp;"2))/"&amp;"100"</f>
        <v>Объем: 0,571488=(((4,2+4,2)*2*2*0,4+4,2*4,2*0,22*2)*2+((3,2+3,2)*2*2*0,4+3,2*3,2*0,22*2))/100</v>
      </c>
    </row>
    <row r="360" spans="1:27" ht="14.25" x14ac:dyDescent="0.2">
      <c r="A360" s="21"/>
      <c r="B360" s="22"/>
      <c r="C360" s="22" t="s">
        <v>450</v>
      </c>
      <c r="D360" s="24"/>
      <c r="E360" s="23"/>
      <c r="F360" s="26">
        <f>Source!AO211</f>
        <v>9948.81</v>
      </c>
      <c r="G360" s="25" t="str">
        <f>Source!DG211</f>
        <v>*1,15*0,8</v>
      </c>
      <c r="H360" s="23">
        <f>Source!AV211</f>
        <v>1.087</v>
      </c>
      <c r="I360" s="27">
        <f>ROUND((Source!AF211*Source!AV211)*Source!I211, 2)</f>
        <v>5685.85</v>
      </c>
      <c r="J360" s="23">
        <f>IF(Source!BA211&lt;&gt; 0, Source!BA211, 1)</f>
        <v>17.46</v>
      </c>
      <c r="K360" s="27">
        <f>Source!S211</f>
        <v>99274.99</v>
      </c>
      <c r="W360" s="37">
        <f>ROUND((Source!AF211*Source!AV211)*Source!I211, 2)</f>
        <v>5685.85</v>
      </c>
    </row>
    <row r="361" spans="1:27" ht="14.25" x14ac:dyDescent="0.2">
      <c r="A361" s="21"/>
      <c r="B361" s="22"/>
      <c r="C361" s="22" t="s">
        <v>451</v>
      </c>
      <c r="D361" s="24"/>
      <c r="E361" s="23"/>
      <c r="F361" s="26">
        <f>Source!AM211</f>
        <v>616.74</v>
      </c>
      <c r="G361" s="25" t="str">
        <f>Source!DE211</f>
        <v>*1,15*0,8</v>
      </c>
      <c r="H361" s="23">
        <f>Source!AV211</f>
        <v>1.087</v>
      </c>
      <c r="I361" s="27">
        <f>ROUND((Source!AD211*Source!AV211)*Source!I211, 2)</f>
        <v>352.47</v>
      </c>
      <c r="J361" s="23">
        <f>IF(Source!BB211&lt;&gt; 0, Source!BB211, 1)</f>
        <v>8.02</v>
      </c>
      <c r="K361" s="27">
        <f>Source!Q211</f>
        <v>2826.84</v>
      </c>
    </row>
    <row r="362" spans="1:27" ht="14.25" x14ac:dyDescent="0.2">
      <c r="A362" s="21"/>
      <c r="B362" s="22"/>
      <c r="C362" s="22" t="s">
        <v>452</v>
      </c>
      <c r="D362" s="24"/>
      <c r="E362" s="23"/>
      <c r="F362" s="26">
        <f>Source!AN211</f>
        <v>104.65</v>
      </c>
      <c r="G362" s="25" t="str">
        <f>Source!DF211</f>
        <v>*1,15*0,8</v>
      </c>
      <c r="H362" s="23">
        <f>Source!AV211</f>
        <v>1.087</v>
      </c>
      <c r="I362" s="33">
        <f>ROUND((Source!AE211*Source!AV211)*Source!I211, 2)</f>
        <v>59.81</v>
      </c>
      <c r="J362" s="23">
        <f>IF(Source!BS211&lt;&gt; 0, Source!BS211, 1)</f>
        <v>17.46</v>
      </c>
      <c r="K362" s="33">
        <f>Source!R211</f>
        <v>1044.26</v>
      </c>
      <c r="W362" s="37">
        <f>ROUND((Source!AE211*Source!AV211)*Source!I211, 2)</f>
        <v>59.81</v>
      </c>
    </row>
    <row r="363" spans="1:27" ht="14.25" x14ac:dyDescent="0.2">
      <c r="A363" s="21"/>
      <c r="B363" s="22"/>
      <c r="C363" s="22" t="s">
        <v>453</v>
      </c>
      <c r="D363" s="24" t="s">
        <v>454</v>
      </c>
      <c r="E363" s="23">
        <f>Source!DN211</f>
        <v>159</v>
      </c>
      <c r="F363" s="26"/>
      <c r="G363" s="25"/>
      <c r="H363" s="23"/>
      <c r="I363" s="27">
        <f>SUM(Q358:Q362)</f>
        <v>9040.5</v>
      </c>
      <c r="J363" s="23">
        <f>Source!BZ211</f>
        <v>131</v>
      </c>
      <c r="K363" s="27">
        <f>SUM(R358:R362)</f>
        <v>130050.24000000001</v>
      </c>
    </row>
    <row r="364" spans="1:27" ht="14.25" x14ac:dyDescent="0.2">
      <c r="A364" s="21"/>
      <c r="B364" s="22"/>
      <c r="C364" s="22" t="s">
        <v>455</v>
      </c>
      <c r="D364" s="24" t="s">
        <v>454</v>
      </c>
      <c r="E364" s="23">
        <f>Source!DO211</f>
        <v>119</v>
      </c>
      <c r="F364" s="26"/>
      <c r="G364" s="25"/>
      <c r="H364" s="23"/>
      <c r="I364" s="27">
        <f>SUM(S358:S363)</f>
        <v>6766.16</v>
      </c>
      <c r="J364" s="23">
        <f>Source!CA211</f>
        <v>60</v>
      </c>
      <c r="K364" s="27">
        <f>SUM(T358:T363)</f>
        <v>59564.99</v>
      </c>
    </row>
    <row r="365" spans="1:27" ht="14.25" x14ac:dyDescent="0.2">
      <c r="A365" s="21"/>
      <c r="B365" s="22"/>
      <c r="C365" s="22" t="s">
        <v>456</v>
      </c>
      <c r="D365" s="24" t="s">
        <v>454</v>
      </c>
      <c r="E365" s="23">
        <f>175</f>
        <v>175</v>
      </c>
      <c r="F365" s="26"/>
      <c r="G365" s="25"/>
      <c r="H365" s="23"/>
      <c r="I365" s="27">
        <f>SUM(U358:U364)</f>
        <v>104.67</v>
      </c>
      <c r="J365" s="23">
        <f>167</f>
        <v>167</v>
      </c>
      <c r="K365" s="27">
        <f>SUM(V358:V364)</f>
        <v>1743.91</v>
      </c>
    </row>
    <row r="366" spans="1:27" ht="14.25" x14ac:dyDescent="0.2">
      <c r="A366" s="21"/>
      <c r="B366" s="22"/>
      <c r="C366" s="22" t="s">
        <v>457</v>
      </c>
      <c r="D366" s="24" t="s">
        <v>458</v>
      </c>
      <c r="E366" s="23">
        <f>Source!AQ211</f>
        <v>827</v>
      </c>
      <c r="F366" s="26"/>
      <c r="G366" s="25" t="str">
        <f>Source!DI211</f>
        <v>*1,15*0,8</v>
      </c>
      <c r="H366" s="23">
        <f>Source!AV211</f>
        <v>1.087</v>
      </c>
      <c r="I366" s="27">
        <f>Source!U211</f>
        <v>472.63948082304</v>
      </c>
      <c r="J366" s="23"/>
      <c r="K366" s="27"/>
    </row>
    <row r="367" spans="1:27" ht="15" x14ac:dyDescent="0.25">
      <c r="A367" s="41"/>
      <c r="B367" s="41"/>
      <c r="C367" s="41"/>
      <c r="D367" s="41"/>
      <c r="E367" s="41"/>
      <c r="F367" s="41"/>
      <c r="G367" s="41"/>
      <c r="H367" s="68">
        <f>I360+I361+I363+I364+I365</f>
        <v>21949.649999999998</v>
      </c>
      <c r="I367" s="68"/>
      <c r="J367" s="68">
        <f>K360+K361+K363+K364+K365</f>
        <v>293460.96999999997</v>
      </c>
      <c r="K367" s="68"/>
      <c r="O367" s="42">
        <f>H367</f>
        <v>21949.649999999998</v>
      </c>
      <c r="P367" s="42">
        <f>J367</f>
        <v>293460.96999999997</v>
      </c>
      <c r="X367" s="37">
        <f>IF(Source!BI211&lt;=1,I360+I361+I363+I364+I365, 0)</f>
        <v>21949.649999999998</v>
      </c>
      <c r="Y367" s="37">
        <f>IF(Source!BI211=2,I360+I361+I363+I364+I365, 0)</f>
        <v>0</v>
      </c>
      <c r="Z367" s="37">
        <f>IF(Source!BI211=3,I360+I361+I363+I364+I365, 0)</f>
        <v>0</v>
      </c>
      <c r="AA367" s="37">
        <f>IF(Source!BI211=4,I360+I361+I363+I364+I365, 0)</f>
        <v>0</v>
      </c>
    </row>
    <row r="368" spans="1:27" ht="42.75" x14ac:dyDescent="0.2">
      <c r="A368" s="21" t="str">
        <f>Source!E212</f>
        <v>44</v>
      </c>
      <c r="B368" s="22" t="str">
        <f>Source!F212</f>
        <v>6.68-13-1</v>
      </c>
      <c r="C368" s="22" t="str">
        <f>Source!G212</f>
        <v>МЕХАНИЗИРОВАННАЯ ПОГРУЗКА СТРОИТЕЛЬНОГО МУСОРА В АВТОМОБИЛИ-САМОСВАЛЫ</v>
      </c>
      <c r="D368" s="24" t="str">
        <f>Source!H212</f>
        <v>т</v>
      </c>
      <c r="E368" s="23">
        <f>Source!I212</f>
        <v>149.50200000000001</v>
      </c>
      <c r="F368" s="26"/>
      <c r="G368" s="25"/>
      <c r="H368" s="23"/>
      <c r="I368" s="27"/>
      <c r="J368" s="23"/>
      <c r="K368" s="27"/>
      <c r="Q368" s="37">
        <f>ROUND((Source!DN212/100)*ROUND((Source!AF212*Source!AV212)*Source!I212, 2), 2)</f>
        <v>0</v>
      </c>
      <c r="R368" s="37">
        <f>Source!X212</f>
        <v>0</v>
      </c>
      <c r="S368" s="37">
        <f>ROUND((Source!DO212/100)*ROUND((Source!AF212*Source!AV212)*Source!I212, 2), 2)</f>
        <v>0</v>
      </c>
      <c r="T368" s="37">
        <f>Source!Y212</f>
        <v>0</v>
      </c>
      <c r="U368" s="37">
        <f>ROUND((175/100)*ROUND((Source!AE212*Source!AV212)*Source!I212, 2), 2)</f>
        <v>445.95</v>
      </c>
      <c r="V368" s="37">
        <f>ROUND((167/100)*ROUND(Source!CS212*Source!I212, 2), 2)</f>
        <v>7430.35</v>
      </c>
    </row>
    <row r="369" spans="1:32" ht="38.25" x14ac:dyDescent="0.2">
      <c r="C369" s="34" t="str">
        <f>"Объем: "&amp;Source!I212&amp;"=3,332+"&amp;"0,257+"&amp;"0,756+"&amp;"0,112+"&amp;"1,411+"&amp;"0,762+"&amp;"142,872"</f>
        <v>Объем: 149,502=3,332+0,257+0,756+0,112+1,411+0,762+142,872</v>
      </c>
    </row>
    <row r="370" spans="1:32" ht="14.25" x14ac:dyDescent="0.2">
      <c r="A370" s="21"/>
      <c r="B370" s="22"/>
      <c r="C370" s="22" t="s">
        <v>451</v>
      </c>
      <c r="D370" s="24"/>
      <c r="E370" s="23"/>
      <c r="F370" s="26">
        <f>Source!AM212</f>
        <v>8.86</v>
      </c>
      <c r="G370" s="25" t="str">
        <f>Source!DE212</f>
        <v>*1,1</v>
      </c>
      <c r="H370" s="23">
        <f>Source!AV212</f>
        <v>1.0469999999999999</v>
      </c>
      <c r="I370" s="27">
        <f>ROUND((Source!AD212*Source!AV212)*Source!I212, 2)</f>
        <v>1525.53</v>
      </c>
      <c r="J370" s="23">
        <f>IF(Source!BB212&lt;&gt; 0, Source!BB212, 1)</f>
        <v>7.92</v>
      </c>
      <c r="K370" s="27">
        <f>Source!Q212</f>
        <v>12082.18</v>
      </c>
    </row>
    <row r="371" spans="1:32" ht="14.25" x14ac:dyDescent="0.2">
      <c r="A371" s="21"/>
      <c r="B371" s="22"/>
      <c r="C371" s="22" t="s">
        <v>452</v>
      </c>
      <c r="D371" s="24"/>
      <c r="E371" s="23"/>
      <c r="F371" s="26">
        <f>Source!AN212</f>
        <v>1.48</v>
      </c>
      <c r="G371" s="25" t="str">
        <f>Source!DF212</f>
        <v>*1,1</v>
      </c>
      <c r="H371" s="23">
        <f>Source!AV212</f>
        <v>1.0469999999999999</v>
      </c>
      <c r="I371" s="33">
        <f>ROUND((Source!AE212*Source!AV212)*Source!I212, 2)</f>
        <v>254.83</v>
      </c>
      <c r="J371" s="23">
        <f>IF(Source!BS212&lt;&gt; 0, Source!BS212, 1)</f>
        <v>17.46</v>
      </c>
      <c r="K371" s="33">
        <f>Source!R212</f>
        <v>4449.3100000000004</v>
      </c>
      <c r="W371" s="37">
        <f>ROUND((Source!AE212*Source!AV212)*Source!I212, 2)</f>
        <v>254.83</v>
      </c>
    </row>
    <row r="372" spans="1:32" ht="14.25" x14ac:dyDescent="0.2">
      <c r="A372" s="21"/>
      <c r="B372" s="22"/>
      <c r="C372" s="22" t="s">
        <v>456</v>
      </c>
      <c r="D372" s="24" t="s">
        <v>454</v>
      </c>
      <c r="E372" s="23">
        <f>175</f>
        <v>175</v>
      </c>
      <c r="F372" s="26"/>
      <c r="G372" s="25"/>
      <c r="H372" s="23"/>
      <c r="I372" s="27">
        <f>SUM(U368:U371)</f>
        <v>445.95</v>
      </c>
      <c r="J372" s="23">
        <f>167</f>
        <v>167</v>
      </c>
      <c r="K372" s="27">
        <f>SUM(V368:V371)</f>
        <v>7430.35</v>
      </c>
    </row>
    <row r="373" spans="1:32" ht="15" x14ac:dyDescent="0.25">
      <c r="A373" s="41"/>
      <c r="B373" s="41"/>
      <c r="C373" s="41"/>
      <c r="D373" s="41"/>
      <c r="E373" s="41"/>
      <c r="F373" s="41"/>
      <c r="G373" s="41"/>
      <c r="H373" s="68">
        <f>I370+I372</f>
        <v>1971.48</v>
      </c>
      <c r="I373" s="68"/>
      <c r="J373" s="68">
        <f>K370+K372</f>
        <v>19512.53</v>
      </c>
      <c r="K373" s="68"/>
      <c r="O373" s="42">
        <f>H373</f>
        <v>1971.48</v>
      </c>
      <c r="P373" s="42">
        <f>J373</f>
        <v>19512.53</v>
      </c>
      <c r="X373" s="37">
        <f>IF(Source!BI212&lt;=1,I370+I372, 0)</f>
        <v>1971.48</v>
      </c>
      <c r="Y373" s="37">
        <f>IF(Source!BI212=2,I370+I372, 0)</f>
        <v>0</v>
      </c>
      <c r="Z373" s="37">
        <f>IF(Source!BI212=3,I370+I372, 0)</f>
        <v>0</v>
      </c>
      <c r="AA373" s="37">
        <f>IF(Source!BI212=4,I370+I372, 0)</f>
        <v>0</v>
      </c>
    </row>
    <row r="374" spans="1:32" ht="71.25" x14ac:dyDescent="0.2">
      <c r="A374" s="21" t="str">
        <f>Source!E213</f>
        <v>45</v>
      </c>
      <c r="B374" s="22" t="str">
        <f>Source!F213</f>
        <v>15.1-28-5</v>
      </c>
      <c r="C374" s="22" t="str">
        <f>Source!G213</f>
        <v>ПЕРЕВОЗКА СТРОИТЕЛЬНОГО МУСОРА НА РАССТОЯНИЕ 28 КМ АВТОСАМОСВАЛАМИ ГРУЗОПОДЪЕМНОСТЬЮ ДО 16 Т, ПЕРЕВОЗКА ДО 28 КМ</v>
      </c>
      <c r="D374" s="24" t="str">
        <f>Source!H213</f>
        <v>т</v>
      </c>
      <c r="E374" s="23">
        <f>Source!I213</f>
        <v>149.50200000000001</v>
      </c>
      <c r="F374" s="26"/>
      <c r="G374" s="25"/>
      <c r="H374" s="23"/>
      <c r="I374" s="27"/>
      <c r="J374" s="23"/>
      <c r="K374" s="27"/>
      <c r="Q374" s="37">
        <f>ROUND((Source!DN213/100)*ROUND((Source!AF213*Source!AV213)*Source!I213, 2), 2)</f>
        <v>0</v>
      </c>
      <c r="R374" s="37">
        <f>Source!X213</f>
        <v>0</v>
      </c>
      <c r="S374" s="37">
        <f>ROUND((Source!DO213/100)*ROUND((Source!AF213*Source!AV213)*Source!I213, 2), 2)</f>
        <v>0</v>
      </c>
      <c r="T374" s="37">
        <f>Source!Y213</f>
        <v>0</v>
      </c>
      <c r="U374" s="37">
        <f>ROUND((175/100)*ROUND((Source!AE213*Source!AV213)*Source!I213, 2), 2)</f>
        <v>0</v>
      </c>
      <c r="V374" s="37">
        <f>ROUND((167/100)*ROUND(Source!CS213*Source!I213, 2), 2)</f>
        <v>0</v>
      </c>
    </row>
    <row r="375" spans="1:32" ht="14.25" x14ac:dyDescent="0.2">
      <c r="A375" s="21"/>
      <c r="B375" s="22"/>
      <c r="C375" s="22" t="s">
        <v>451</v>
      </c>
      <c r="D375" s="24"/>
      <c r="E375" s="23"/>
      <c r="F375" s="26">
        <f>Source!AM213</f>
        <v>58.32</v>
      </c>
      <c r="G375" s="25" t="str">
        <f>Source!DE213</f>
        <v/>
      </c>
      <c r="H375" s="23">
        <f>Source!AV213</f>
        <v>1</v>
      </c>
      <c r="I375" s="27">
        <f>ROUND((Source!AD213*Source!AV213)*Source!I213, 2)</f>
        <v>8718.9599999999991</v>
      </c>
      <c r="J375" s="23">
        <f>IF(Source!BB213&lt;&gt; 0, Source!BB213, 1)</f>
        <v>7.62</v>
      </c>
      <c r="K375" s="27">
        <f>Source!Q213</f>
        <v>66438.45</v>
      </c>
    </row>
    <row r="376" spans="1:32" ht="15" x14ac:dyDescent="0.25">
      <c r="A376" s="41"/>
      <c r="B376" s="41"/>
      <c r="C376" s="41"/>
      <c r="D376" s="41"/>
      <c r="E376" s="41"/>
      <c r="F376" s="41"/>
      <c r="G376" s="41"/>
      <c r="H376" s="68">
        <f>I375</f>
        <v>8718.9599999999991</v>
      </c>
      <c r="I376" s="68"/>
      <c r="J376" s="68">
        <f>K375</f>
        <v>66438.45</v>
      </c>
      <c r="K376" s="68"/>
      <c r="O376" s="42">
        <f>H376</f>
        <v>8718.9599999999991</v>
      </c>
      <c r="P376" s="42">
        <f>J376</f>
        <v>66438.45</v>
      </c>
      <c r="X376" s="37">
        <f>IF(Source!BI213&lt;=1,I375, 0)</f>
        <v>0</v>
      </c>
      <c r="Y376" s="37">
        <f>IF(Source!BI213=2,I375, 0)</f>
        <v>0</v>
      </c>
      <c r="Z376" s="37">
        <f>IF(Source!BI213=3,I375, 0)</f>
        <v>0</v>
      </c>
      <c r="AA376" s="37">
        <f>IF(Source!BI213=4,I375, 0)</f>
        <v>8718.9599999999991</v>
      </c>
    </row>
    <row r="377" spans="1:32" ht="28.5" x14ac:dyDescent="0.2">
      <c r="A377" s="21" t="str">
        <f>Source!E214</f>
        <v>46</v>
      </c>
      <c r="B377" s="22" t="str">
        <f>Source!F214</f>
        <v>15.1-0-1</v>
      </c>
      <c r="C377" s="22" t="str">
        <f>Source!G214</f>
        <v>СОДЕРЖАНИЕ СВАЛКИ ОТХОДОВ СТРОИТЕЛЬСТВА И СНОСА</v>
      </c>
      <c r="D377" s="24" t="str">
        <f>Source!H214</f>
        <v>т</v>
      </c>
      <c r="E377" s="23">
        <f>Source!I214</f>
        <v>144.28299999999999</v>
      </c>
      <c r="F377" s="26"/>
      <c r="G377" s="25"/>
      <c r="H377" s="23"/>
      <c r="I377" s="27"/>
      <c r="J377" s="23"/>
      <c r="K377" s="27"/>
      <c r="Q377" s="37">
        <f>ROUND((Source!DN214/100)*ROUND((Source!AF214*Source!AV214)*Source!I214, 2), 2)</f>
        <v>0</v>
      </c>
      <c r="R377" s="37">
        <f>Source!X214</f>
        <v>0</v>
      </c>
      <c r="S377" s="37">
        <f>ROUND((Source!DO214/100)*ROUND((Source!AF214*Source!AV214)*Source!I214, 2), 2)</f>
        <v>0</v>
      </c>
      <c r="T377" s="37">
        <f>Source!Y214</f>
        <v>0</v>
      </c>
      <c r="U377" s="37">
        <f>ROUND((175/100)*ROUND((Source!AE214*Source!AV214)*Source!I214, 2), 2)</f>
        <v>0</v>
      </c>
      <c r="V377" s="37">
        <f>ROUND((167/100)*ROUND(Source!CS214*Source!I214, 2), 2)</f>
        <v>0</v>
      </c>
    </row>
    <row r="378" spans="1:32" x14ac:dyDescent="0.2">
      <c r="C378" s="34" t="str">
        <f>"Объем: "&amp;Source!I214&amp;"=1,411+"&amp;"142,872"</f>
        <v>Объем: 144,283=1,411+142,872</v>
      </c>
    </row>
    <row r="379" spans="1:32" ht="14.25" x14ac:dyDescent="0.2">
      <c r="A379" s="21"/>
      <c r="B379" s="22"/>
      <c r="C379" s="22" t="s">
        <v>451</v>
      </c>
      <c r="D379" s="24"/>
      <c r="E379" s="23"/>
      <c r="F379" s="26">
        <f>Source!AM214</f>
        <v>101</v>
      </c>
      <c r="G379" s="25" t="str">
        <f>Source!DE214</f>
        <v/>
      </c>
      <c r="H379" s="23">
        <f>Source!AV214</f>
        <v>1</v>
      </c>
      <c r="I379" s="27">
        <f>ROUND((Source!AD214*Source!AV214)*Source!I214, 2)</f>
        <v>14572.58</v>
      </c>
      <c r="J379" s="23">
        <f>IF(Source!BB214&lt;&gt; 0, Source!BB214, 1)</f>
        <v>2.0099999999999998</v>
      </c>
      <c r="K379" s="27">
        <f>Source!Q214</f>
        <v>29290.89</v>
      </c>
    </row>
    <row r="380" spans="1:32" ht="15" x14ac:dyDescent="0.25">
      <c r="A380" s="41"/>
      <c r="B380" s="41"/>
      <c r="C380" s="41"/>
      <c r="D380" s="41"/>
      <c r="E380" s="41"/>
      <c r="F380" s="41"/>
      <c r="G380" s="41"/>
      <c r="H380" s="68">
        <f>I379</f>
        <v>14572.58</v>
      </c>
      <c r="I380" s="68"/>
      <c r="J380" s="68">
        <f>K379</f>
        <v>29290.89</v>
      </c>
      <c r="K380" s="68"/>
      <c r="O380" s="42">
        <f>H380</f>
        <v>14572.58</v>
      </c>
      <c r="P380" s="42">
        <f>J380</f>
        <v>29290.89</v>
      </c>
      <c r="X380" s="37">
        <f>IF(Source!BI214&lt;=1,I379, 0)</f>
        <v>0</v>
      </c>
      <c r="Y380" s="37">
        <f>IF(Source!BI214=2,I379, 0)</f>
        <v>0</v>
      </c>
      <c r="Z380" s="37">
        <f>IF(Source!BI214=3,I379, 0)</f>
        <v>0</v>
      </c>
      <c r="AA380" s="37">
        <f>IF(Source!BI214=4,I379, 0)</f>
        <v>14572.58</v>
      </c>
    </row>
    <row r="382" spans="1:32" ht="15" x14ac:dyDescent="0.25">
      <c r="A382" s="58" t="str">
        <f>CONCATENATE("Итого по разделу: ",IF(Source!G216&lt;&gt;"Новый раздел", Source!G216, ""))</f>
        <v>Итого по разделу: Демонтаж байпаса</v>
      </c>
      <c r="B382" s="58"/>
      <c r="C382" s="58"/>
      <c r="D382" s="58"/>
      <c r="E382" s="58"/>
      <c r="F382" s="58"/>
      <c r="G382" s="58"/>
      <c r="H382" s="59">
        <f>SUM(O320:O381)</f>
        <v>56283.22</v>
      </c>
      <c r="I382" s="57"/>
      <c r="J382" s="59">
        <f>SUM(P320:P381)</f>
        <v>531636.22</v>
      </c>
      <c r="K382" s="57"/>
      <c r="AF382" s="35" t="str">
        <f>CONCATENATE("Итого по разделу: ",IF(Source!G216&lt;&gt;"Новый раздел", Source!G216, ""))</f>
        <v>Итого по разделу: Демонтаж байпаса</v>
      </c>
    </row>
    <row r="385" spans="1:32" ht="15" x14ac:dyDescent="0.25">
      <c r="A385" s="58" t="str">
        <f>CONCATENATE("Итого по локальной смете: ",IF(Source!G242&lt;&gt;"Новая локальная смета", Source!G242, ""))</f>
        <v xml:space="preserve">Итого по локальной смете: </v>
      </c>
      <c r="B385" s="58"/>
      <c r="C385" s="58"/>
      <c r="D385" s="58"/>
      <c r="E385" s="58"/>
      <c r="F385" s="58"/>
      <c r="G385" s="58"/>
      <c r="H385" s="59">
        <f>SUM(O21:O384)</f>
        <v>1564524.52</v>
      </c>
      <c r="I385" s="57"/>
      <c r="J385" s="59">
        <f>SUM(P21:P384)</f>
        <v>11444571.529999999</v>
      </c>
      <c r="K385" s="57"/>
      <c r="AF385" s="35" t="str">
        <f>CONCATENATE("Итого по локальной смете: ",IF(Source!G242&lt;&gt;"Новая локальная смета", Source!G242, ""))</f>
        <v xml:space="preserve">Итого по локальной смете: </v>
      </c>
    </row>
    <row r="386" spans="1:32" ht="14.25" x14ac:dyDescent="0.2">
      <c r="C386" s="56" t="s">
        <v>48</v>
      </c>
      <c r="D386" s="56"/>
      <c r="E386" s="56"/>
      <c r="F386" s="56"/>
      <c r="G386" s="56"/>
      <c r="H386" s="56"/>
      <c r="I386" s="56"/>
      <c r="J386" s="52">
        <f>ROUND(J12*1000,2)</f>
        <v>10524714.25</v>
      </c>
      <c r="K386" s="52"/>
      <c r="N386" s="56"/>
      <c r="O386" s="56"/>
      <c r="P386" s="56"/>
      <c r="Q386" s="56"/>
      <c r="R386" s="56"/>
      <c r="S386" s="56"/>
      <c r="T386" s="56"/>
      <c r="U386" s="52" t="e">
        <f>'[1]Смета по ТСН-2001'!U345</f>
        <v>#REF!</v>
      </c>
      <c r="V386" s="52"/>
      <c r="W386" s="37" t="e">
        <f>'[1]Смета по ТСН-2001'!W345</f>
        <v>#REF!</v>
      </c>
      <c r="X386" s="37" t="e">
        <f>'[1]Смета по ТСН-2001'!X345</f>
        <v>#REF!</v>
      </c>
    </row>
    <row r="387" spans="1:32" ht="14.25" x14ac:dyDescent="0.2">
      <c r="C387" s="56" t="s">
        <v>425</v>
      </c>
      <c r="D387" s="56"/>
      <c r="E387" s="56"/>
      <c r="F387" s="56"/>
      <c r="G387" s="56"/>
      <c r="H387" s="56"/>
      <c r="I387" s="56"/>
      <c r="J387" s="52">
        <f>ROUND(J13*1000,2)</f>
        <v>0</v>
      </c>
      <c r="K387" s="52"/>
      <c r="N387" s="56"/>
      <c r="O387" s="56"/>
      <c r="P387" s="56"/>
      <c r="Q387" s="56"/>
      <c r="R387" s="56"/>
      <c r="S387" s="56"/>
      <c r="T387" s="56"/>
      <c r="U387" s="52" t="e">
        <f>'[1]Смета по ТСН-2001'!U346</f>
        <v>#REF!</v>
      </c>
      <c r="V387" s="52"/>
      <c r="W387" s="37" t="e">
        <f>'[1]Смета по ТСН-2001'!W346</f>
        <v>#REF!</v>
      </c>
      <c r="X387" s="37" t="e">
        <f>'[1]Смета по ТСН-2001'!X346</f>
        <v>#REF!</v>
      </c>
    </row>
    <row r="388" spans="1:32" ht="15" x14ac:dyDescent="0.25">
      <c r="C388" s="56" t="s">
        <v>426</v>
      </c>
      <c r="D388" s="56"/>
      <c r="E388" s="56"/>
      <c r="F388" s="56"/>
      <c r="G388" s="56"/>
      <c r="H388" s="56"/>
      <c r="I388" s="56"/>
      <c r="J388" s="52">
        <f>ROUND(J14*1000,2)</f>
        <v>94388.08</v>
      </c>
      <c r="K388" s="52"/>
      <c r="N388" s="56"/>
      <c r="O388" s="56"/>
      <c r="P388" s="56"/>
      <c r="Q388" s="56"/>
      <c r="R388" s="56"/>
      <c r="S388" s="56"/>
      <c r="T388" s="56"/>
      <c r="U388" s="52" t="e">
        <f>'[1]Смета по ТСН-2001'!U347</f>
        <v>#REF!</v>
      </c>
      <c r="V388" s="52"/>
      <c r="W388" s="37" t="e">
        <f>'[1]Смета по ТСН-2001'!W347</f>
        <v>#REF!</v>
      </c>
      <c r="X388" s="37" t="e">
        <f>'[1]Смета по ТСН-2001'!X347</f>
        <v>#REF!</v>
      </c>
      <c r="AF388" s="35" t="str">
        <f>CONCATENATE("Итого по смете: ",IF([2]Source!G314&lt;&gt;"Новый объект", [2]Source!G314, ""))</f>
        <v xml:space="preserve">Итого по смете: </v>
      </c>
    </row>
    <row r="389" spans="1:32" ht="14.25" customHeight="1" x14ac:dyDescent="0.2">
      <c r="C389" s="56" t="s">
        <v>120</v>
      </c>
      <c r="D389" s="56"/>
      <c r="E389" s="56"/>
      <c r="F389" s="56"/>
      <c r="G389" s="56"/>
      <c r="H389" s="56"/>
      <c r="I389" s="56"/>
      <c r="J389" s="52">
        <f>ROUND(J15*1000,2)</f>
        <v>825469.2</v>
      </c>
      <c r="K389" s="52"/>
      <c r="N389" s="56"/>
      <c r="O389" s="56"/>
      <c r="P389" s="56"/>
      <c r="Q389" s="56"/>
      <c r="R389" s="56"/>
      <c r="S389" s="56"/>
      <c r="T389" s="56"/>
      <c r="U389" s="52" t="e">
        <f>'[1]Смета по ТСН-2001'!U348</f>
        <v>#REF!</v>
      </c>
      <c r="V389" s="52"/>
      <c r="W389" s="37" t="e">
        <f>'[1]Смета по ТСН-2001'!W348</f>
        <v>#REF!</v>
      </c>
      <c r="X389" s="37" t="e">
        <f>'[1]Смета по ТСН-2001'!X348</f>
        <v>#REF!</v>
      </c>
    </row>
    <row r="390" spans="1:32" ht="14.25" customHeight="1" x14ac:dyDescent="0.2">
      <c r="C390" s="56" t="s">
        <v>473</v>
      </c>
      <c r="D390" s="56"/>
      <c r="E390" s="56"/>
      <c r="F390" s="56"/>
      <c r="G390" s="56"/>
      <c r="H390" s="56"/>
      <c r="I390" s="56"/>
      <c r="J390" s="52">
        <f>ROUND((J386+J387)*1.5%,2)</f>
        <v>157870.71</v>
      </c>
      <c r="K390" s="52"/>
      <c r="N390" s="56"/>
      <c r="O390" s="56"/>
      <c r="P390" s="56"/>
      <c r="Q390" s="56"/>
      <c r="R390" s="56"/>
      <c r="S390" s="56"/>
      <c r="T390" s="56"/>
      <c r="U390" s="52" t="e">
        <f>'[1]Смета по ТСН-2001'!U349</f>
        <v>#REF!</v>
      </c>
      <c r="V390" s="52"/>
      <c r="W390" s="37" t="e">
        <f>'[1]Смета по ТСН-2001'!W349</f>
        <v>#REF!</v>
      </c>
      <c r="X390" s="37" t="e">
        <f>'[1]Смета по ТСН-2001'!X349</f>
        <v>#REF!</v>
      </c>
    </row>
    <row r="391" spans="1:32" ht="14.25" customHeight="1" x14ac:dyDescent="0.25">
      <c r="A391" s="38"/>
      <c r="B391" s="38"/>
      <c r="C391" s="58" t="s">
        <v>474</v>
      </c>
      <c r="D391" s="58"/>
      <c r="E391" s="58"/>
      <c r="F391" s="58"/>
      <c r="G391" s="58"/>
      <c r="H391" s="58"/>
      <c r="I391" s="58"/>
      <c r="J391" s="60">
        <f>J385+J390</f>
        <v>11602442.24</v>
      </c>
      <c r="K391" s="60"/>
      <c r="L391" s="38"/>
      <c r="M391" s="38"/>
      <c r="N391" s="58"/>
      <c r="O391" s="58"/>
      <c r="P391" s="58"/>
      <c r="Q391" s="58"/>
      <c r="R391" s="58"/>
      <c r="S391" s="58"/>
      <c r="T391" s="58"/>
      <c r="U391" s="61" t="e">
        <f>'[1]Смета по ТСН-2001'!U350</f>
        <v>#REF!</v>
      </c>
      <c r="V391" s="61"/>
      <c r="W391" s="38" t="e">
        <f>'[1]Смета по ТСН-2001'!W350</f>
        <v>#REF!</v>
      </c>
      <c r="X391" s="38" t="e">
        <f>'[1]Смета по ТСН-2001'!X350</f>
        <v>#REF!</v>
      </c>
    </row>
    <row r="392" spans="1:32" ht="14.25" customHeight="1" x14ac:dyDescent="0.2">
      <c r="C392" s="56" t="s">
        <v>475</v>
      </c>
      <c r="D392" s="56"/>
      <c r="E392" s="56"/>
      <c r="F392" s="56"/>
      <c r="G392" s="56"/>
      <c r="H392" s="56"/>
      <c r="I392" s="56"/>
      <c r="J392" s="52">
        <f>ROUND(J391*3%,2)</f>
        <v>348073.27</v>
      </c>
      <c r="K392" s="52"/>
      <c r="N392" s="56"/>
      <c r="O392" s="56"/>
      <c r="P392" s="56"/>
      <c r="Q392" s="56"/>
      <c r="R392" s="56"/>
      <c r="S392" s="56"/>
      <c r="T392" s="56"/>
      <c r="U392" s="52" t="e">
        <f>'[1]Смета по ТСН-2001'!U351</f>
        <v>#REF!</v>
      </c>
      <c r="V392" s="52"/>
      <c r="W392" s="37" t="e">
        <f>'[1]Смета по ТСН-2001'!W351</f>
        <v>#REF!</v>
      </c>
      <c r="X392" s="37" t="e">
        <f>'[1]Смета по ТСН-2001'!X351</f>
        <v>#REF!</v>
      </c>
    </row>
    <row r="393" spans="1:32" ht="14.25" customHeight="1" x14ac:dyDescent="0.25">
      <c r="A393" s="38"/>
      <c r="B393" s="38"/>
      <c r="C393" s="58" t="s">
        <v>476</v>
      </c>
      <c r="D393" s="58"/>
      <c r="E393" s="58"/>
      <c r="F393" s="58"/>
      <c r="G393" s="58"/>
      <c r="H393" s="58"/>
      <c r="I393" s="58"/>
      <c r="J393" s="59">
        <f>J391+J392</f>
        <v>11950515.51</v>
      </c>
      <c r="K393" s="59"/>
      <c r="L393" s="38"/>
      <c r="M393" s="38"/>
      <c r="N393" s="58"/>
      <c r="O393" s="58"/>
      <c r="P393" s="58"/>
      <c r="Q393" s="58"/>
      <c r="R393" s="58"/>
      <c r="S393" s="58"/>
      <c r="T393" s="58"/>
      <c r="U393" s="59" t="e">
        <f>'[1]Смета по ТСН-2001'!U352</f>
        <v>#REF!</v>
      </c>
      <c r="V393" s="59"/>
      <c r="W393" s="38" t="e">
        <f>'[1]Смета по ТСН-2001'!W352</f>
        <v>#REF!</v>
      </c>
      <c r="X393" s="38" t="e">
        <f>'[1]Смета по ТСН-2001'!X352</f>
        <v>#REF!</v>
      </c>
    </row>
    <row r="394" spans="1:32" ht="14.25" customHeight="1" x14ac:dyDescent="0.2">
      <c r="C394" s="56" t="s">
        <v>48</v>
      </c>
      <c r="D394" s="56"/>
      <c r="E394" s="56"/>
      <c r="F394" s="56"/>
      <c r="G394" s="56"/>
      <c r="H394" s="56"/>
      <c r="I394" s="56"/>
      <c r="J394" s="52">
        <f>ROUND(J386*1.015*1.03,2)</f>
        <v>11003062.51</v>
      </c>
      <c r="K394" s="52"/>
      <c r="N394" s="56"/>
      <c r="O394" s="56"/>
      <c r="P394" s="56"/>
      <c r="Q394" s="56"/>
      <c r="R394" s="56"/>
      <c r="S394" s="56"/>
      <c r="T394" s="56"/>
      <c r="U394" s="52" t="e">
        <f>'[1]Смета по ТСН-2001'!U353</f>
        <v>#REF!</v>
      </c>
      <c r="V394" s="52"/>
      <c r="W394" s="37" t="e">
        <f>'[1]Смета по ТСН-2001'!W353</f>
        <v>#REF!</v>
      </c>
      <c r="X394" s="37" t="e">
        <f>'[1]Смета по ТСН-2001'!X353</f>
        <v>#REF!</v>
      </c>
    </row>
    <row r="395" spans="1:32" ht="14.25" customHeight="1" x14ac:dyDescent="0.2">
      <c r="C395" s="56" t="s">
        <v>425</v>
      </c>
      <c r="D395" s="56"/>
      <c r="E395" s="56"/>
      <c r="F395" s="56"/>
      <c r="G395" s="56"/>
      <c r="H395" s="56"/>
      <c r="I395" s="56"/>
      <c r="J395" s="52">
        <f>ROUND(J387*1.015*1.03,2)</f>
        <v>0</v>
      </c>
      <c r="K395" s="52"/>
      <c r="N395" s="56"/>
      <c r="O395" s="56"/>
      <c r="P395" s="56"/>
      <c r="Q395" s="56"/>
      <c r="R395" s="56"/>
      <c r="S395" s="56"/>
      <c r="T395" s="56"/>
      <c r="U395" s="52" t="e">
        <f>'[1]Смета по ТСН-2001'!U354</f>
        <v>#REF!</v>
      </c>
      <c r="V395" s="52"/>
      <c r="W395" s="37" t="e">
        <f>'[1]Смета по ТСН-2001'!W354</f>
        <v>#REF!</v>
      </c>
      <c r="X395" s="37" t="e">
        <f>'[1]Смета по ТСН-2001'!X354</f>
        <v>#REF!</v>
      </c>
    </row>
    <row r="396" spans="1:32" ht="14.25" customHeight="1" x14ac:dyDescent="0.2">
      <c r="C396" s="56" t="s">
        <v>426</v>
      </c>
      <c r="D396" s="56"/>
      <c r="E396" s="56"/>
      <c r="F396" s="56"/>
      <c r="G396" s="56"/>
      <c r="H396" s="56"/>
      <c r="I396" s="56"/>
      <c r="J396" s="52">
        <f>ROUND(J388*1.03,2)</f>
        <v>97219.72</v>
      </c>
      <c r="K396" s="52"/>
      <c r="N396" s="56"/>
      <c r="O396" s="56"/>
      <c r="P396" s="56"/>
      <c r="Q396" s="56"/>
      <c r="R396" s="56"/>
      <c r="S396" s="56"/>
      <c r="T396" s="56"/>
      <c r="U396" s="52" t="e">
        <f>'[1]Смета по ТСН-2001'!U355</f>
        <v>#REF!</v>
      </c>
      <c r="V396" s="52"/>
      <c r="W396" s="37" t="e">
        <f>'[1]Смета по ТСН-2001'!W355</f>
        <v>#REF!</v>
      </c>
      <c r="X396" s="37" t="e">
        <f>'[1]Смета по ТСН-2001'!X355</f>
        <v>#REF!</v>
      </c>
    </row>
    <row r="397" spans="1:32" ht="14.25" x14ac:dyDescent="0.2">
      <c r="C397" s="56" t="s">
        <v>120</v>
      </c>
      <c r="D397" s="56"/>
      <c r="E397" s="56"/>
      <c r="F397" s="56"/>
      <c r="G397" s="56"/>
      <c r="H397" s="56"/>
      <c r="I397" s="56"/>
      <c r="J397" s="52">
        <f>ROUND(J389*1.03,2)</f>
        <v>850233.28</v>
      </c>
      <c r="K397" s="52"/>
    </row>
    <row r="400" spans="1:32" ht="15" x14ac:dyDescent="0.25">
      <c r="B400" s="57" t="s">
        <v>481</v>
      </c>
      <c r="C400" s="57"/>
      <c r="D400" s="57"/>
      <c r="E400" s="57"/>
      <c r="F400" s="57"/>
      <c r="G400" s="48">
        <v>1.012</v>
      </c>
      <c r="H400" s="49"/>
      <c r="I400" s="49"/>
      <c r="J400" s="49"/>
      <c r="K400" s="50">
        <f>J393*G400</f>
        <v>12093921.69612</v>
      </c>
    </row>
    <row r="401" spans="1:11" ht="14.25" x14ac:dyDescent="0.2">
      <c r="C401" s="45" t="s">
        <v>482</v>
      </c>
      <c r="D401" s="46"/>
      <c r="E401" s="46"/>
      <c r="F401" s="46"/>
      <c r="G401" s="46"/>
      <c r="H401" s="46"/>
      <c r="I401" s="46"/>
      <c r="J401" s="44"/>
      <c r="K401" s="44"/>
    </row>
    <row r="404" spans="1:11" ht="14.25" customHeight="1" x14ac:dyDescent="0.2">
      <c r="B404" s="39" t="s">
        <v>477</v>
      </c>
      <c r="C404" s="39"/>
      <c r="D404" s="39"/>
      <c r="E404" s="39"/>
      <c r="F404" s="39"/>
      <c r="G404" s="39"/>
      <c r="J404" s="52">
        <f>6956*(3.332+0.257+0.756+0.112+0.762)</f>
        <v>36303.363999999994</v>
      </c>
      <c r="K404" s="52"/>
    </row>
    <row r="405" spans="1:11" ht="14.25" x14ac:dyDescent="0.2">
      <c r="B405" s="53" t="s">
        <v>479</v>
      </c>
      <c r="C405" s="53"/>
      <c r="D405" s="53"/>
      <c r="E405" s="53"/>
      <c r="F405" s="53"/>
      <c r="G405" s="53"/>
      <c r="H405" s="53"/>
      <c r="I405" s="53"/>
      <c r="J405" s="53"/>
      <c r="K405" s="53"/>
    </row>
    <row r="410" spans="1:11" ht="14.25" x14ac:dyDescent="0.2">
      <c r="A410" s="40" t="s">
        <v>470</v>
      </c>
      <c r="B410" s="40"/>
      <c r="C410" s="36" t="s">
        <v>483</v>
      </c>
      <c r="D410" s="36"/>
      <c r="E410" s="36"/>
      <c r="F410" s="36"/>
      <c r="G410" s="36"/>
      <c r="H410" s="54" t="s">
        <v>484</v>
      </c>
      <c r="I410" s="54"/>
      <c r="J410" s="10"/>
      <c r="K410" s="10"/>
    </row>
    <row r="411" spans="1:11" ht="14.25" x14ac:dyDescent="0.2">
      <c r="B411" s="10"/>
      <c r="C411" s="55" t="s">
        <v>471</v>
      </c>
      <c r="D411" s="55"/>
      <c r="E411" s="55"/>
      <c r="F411" s="55"/>
      <c r="G411" s="55"/>
      <c r="H411" s="55"/>
      <c r="I411" s="55"/>
      <c r="J411" s="51"/>
      <c r="K411" s="10"/>
    </row>
    <row r="412" spans="1:11" ht="14.25" x14ac:dyDescent="0.2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</row>
    <row r="413" spans="1:11" ht="14.25" x14ac:dyDescent="0.2">
      <c r="A413" s="40" t="s">
        <v>472</v>
      </c>
      <c r="B413" s="40"/>
      <c r="C413" s="36" t="s">
        <v>485</v>
      </c>
      <c r="D413" s="36"/>
      <c r="E413" s="36"/>
      <c r="F413" s="36"/>
      <c r="G413" s="36"/>
      <c r="H413" s="54" t="s">
        <v>478</v>
      </c>
      <c r="I413" s="54"/>
      <c r="J413" s="10"/>
      <c r="K413" s="10"/>
    </row>
    <row r="414" spans="1:11" ht="14.25" x14ac:dyDescent="0.2">
      <c r="B414" s="10"/>
      <c r="C414" s="55" t="s">
        <v>471</v>
      </c>
      <c r="D414" s="55"/>
      <c r="E414" s="55"/>
      <c r="F414" s="55"/>
      <c r="G414" s="55"/>
      <c r="H414" s="55"/>
      <c r="I414" s="55"/>
      <c r="J414" s="51"/>
      <c r="K414" s="10"/>
    </row>
  </sheetData>
  <mergeCells count="179">
    <mergeCell ref="J380:K380"/>
    <mergeCell ref="H380:I380"/>
    <mergeCell ref="J382:K382"/>
    <mergeCell ref="H382:I382"/>
    <mergeCell ref="A382:G382"/>
    <mergeCell ref="J385:K385"/>
    <mergeCell ref="H385:I385"/>
    <mergeCell ref="A385:G385"/>
    <mergeCell ref="J347:K347"/>
    <mergeCell ref="H347:I347"/>
    <mergeCell ref="J357:K357"/>
    <mergeCell ref="H357:I357"/>
    <mergeCell ref="J367:K367"/>
    <mergeCell ref="H367:I367"/>
    <mergeCell ref="J373:K373"/>
    <mergeCell ref="H373:I373"/>
    <mergeCell ref="J376:K376"/>
    <mergeCell ref="H376:I376"/>
    <mergeCell ref="J315:K315"/>
    <mergeCell ref="H315:I315"/>
    <mergeCell ref="J317:K317"/>
    <mergeCell ref="H317:I317"/>
    <mergeCell ref="A317:G317"/>
    <mergeCell ref="A320:K320"/>
    <mergeCell ref="J330:K330"/>
    <mergeCell ref="H330:I330"/>
    <mergeCell ref="J340:K340"/>
    <mergeCell ref="H340:I340"/>
    <mergeCell ref="J291:K291"/>
    <mergeCell ref="H291:I291"/>
    <mergeCell ref="J301:K301"/>
    <mergeCell ref="H301:I301"/>
    <mergeCell ref="J305:K305"/>
    <mergeCell ref="H305:I305"/>
    <mergeCell ref="J309:K309"/>
    <mergeCell ref="H309:I309"/>
    <mergeCell ref="J312:K312"/>
    <mergeCell ref="H312:I312"/>
    <mergeCell ref="J241:K241"/>
    <mergeCell ref="H241:I241"/>
    <mergeCell ref="J250:K250"/>
    <mergeCell ref="H250:I250"/>
    <mergeCell ref="J259:K259"/>
    <mergeCell ref="H259:I259"/>
    <mergeCell ref="J270:K270"/>
    <mergeCell ref="H270:I270"/>
    <mergeCell ref="J280:K280"/>
    <mergeCell ref="H280:I280"/>
    <mergeCell ref="J213:K213"/>
    <mergeCell ref="H213:I213"/>
    <mergeCell ref="J216:K216"/>
    <mergeCell ref="H216:I216"/>
    <mergeCell ref="J218:K218"/>
    <mergeCell ref="H218:I218"/>
    <mergeCell ref="A218:G218"/>
    <mergeCell ref="A221:K221"/>
    <mergeCell ref="J230:K230"/>
    <mergeCell ref="H230:I230"/>
    <mergeCell ref="J181:K181"/>
    <mergeCell ref="H181:I181"/>
    <mergeCell ref="J192:K192"/>
    <mergeCell ref="H192:I192"/>
    <mergeCell ref="J202:K202"/>
    <mergeCell ref="H202:I202"/>
    <mergeCell ref="J206:K206"/>
    <mergeCell ref="H206:I206"/>
    <mergeCell ref="J210:K210"/>
    <mergeCell ref="H210:I210"/>
    <mergeCell ref="J143:K143"/>
    <mergeCell ref="H143:I143"/>
    <mergeCell ref="A143:G143"/>
    <mergeCell ref="A146:K146"/>
    <mergeCell ref="J156:K156"/>
    <mergeCell ref="H156:I156"/>
    <mergeCell ref="J161:K161"/>
    <mergeCell ref="H161:I161"/>
    <mergeCell ref="J172:K172"/>
    <mergeCell ref="H172:I172"/>
    <mergeCell ref="J127:K127"/>
    <mergeCell ref="H127:I127"/>
    <mergeCell ref="J131:K131"/>
    <mergeCell ref="H131:I131"/>
    <mergeCell ref="J135:K135"/>
    <mergeCell ref="H135:I135"/>
    <mergeCell ref="J138:K138"/>
    <mergeCell ref="H138:I138"/>
    <mergeCell ref="J141:K141"/>
    <mergeCell ref="H141:I141"/>
    <mergeCell ref="J82:K82"/>
    <mergeCell ref="H82:I82"/>
    <mergeCell ref="A82:G82"/>
    <mergeCell ref="A85:K85"/>
    <mergeCell ref="J96:K96"/>
    <mergeCell ref="H96:I96"/>
    <mergeCell ref="J106:K106"/>
    <mergeCell ref="H106:I106"/>
    <mergeCell ref="J117:K117"/>
    <mergeCell ref="H117:I117"/>
    <mergeCell ref="J66:K66"/>
    <mergeCell ref="H66:I66"/>
    <mergeCell ref="J70:K70"/>
    <mergeCell ref="H70:I70"/>
    <mergeCell ref="J74:K74"/>
    <mergeCell ref="H74:I74"/>
    <mergeCell ref="J77:K77"/>
    <mergeCell ref="H77:I77"/>
    <mergeCell ref="J80:K80"/>
    <mergeCell ref="H80:I80"/>
    <mergeCell ref="F15:H15"/>
    <mergeCell ref="F16:H16"/>
    <mergeCell ref="A22:K22"/>
    <mergeCell ref="J35:K35"/>
    <mergeCell ref="H35:I35"/>
    <mergeCell ref="J45:K45"/>
    <mergeCell ref="H45:I45"/>
    <mergeCell ref="J56:K56"/>
    <mergeCell ref="H56:I56"/>
    <mergeCell ref="A3:K3"/>
    <mergeCell ref="A4:K4"/>
    <mergeCell ref="A6:K6"/>
    <mergeCell ref="A7:K7"/>
    <mergeCell ref="A9:K9"/>
    <mergeCell ref="F11:H11"/>
    <mergeCell ref="F12:H12"/>
    <mergeCell ref="F13:H13"/>
    <mergeCell ref="F14:H14"/>
    <mergeCell ref="N388:T388"/>
    <mergeCell ref="U388:V388"/>
    <mergeCell ref="C389:I389"/>
    <mergeCell ref="J389:K389"/>
    <mergeCell ref="N389:T389"/>
    <mergeCell ref="U389:V389"/>
    <mergeCell ref="J388:K388"/>
    <mergeCell ref="C388:I388"/>
    <mergeCell ref="C386:I386"/>
    <mergeCell ref="J386:K386"/>
    <mergeCell ref="N386:T386"/>
    <mergeCell ref="U386:V386"/>
    <mergeCell ref="C387:I387"/>
    <mergeCell ref="J387:K387"/>
    <mergeCell ref="N387:T387"/>
    <mergeCell ref="U387:V387"/>
    <mergeCell ref="C392:I392"/>
    <mergeCell ref="J392:K392"/>
    <mergeCell ref="N392:T392"/>
    <mergeCell ref="U392:V392"/>
    <mergeCell ref="C393:I393"/>
    <mergeCell ref="J393:K393"/>
    <mergeCell ref="N393:T393"/>
    <mergeCell ref="U393:V393"/>
    <mergeCell ref="N390:T390"/>
    <mergeCell ref="U390:V390"/>
    <mergeCell ref="C391:I391"/>
    <mergeCell ref="J391:K391"/>
    <mergeCell ref="N391:T391"/>
    <mergeCell ref="U391:V391"/>
    <mergeCell ref="C390:I390"/>
    <mergeCell ref="J390:K390"/>
    <mergeCell ref="U396:V396"/>
    <mergeCell ref="C397:I397"/>
    <mergeCell ref="J397:K397"/>
    <mergeCell ref="C394:I394"/>
    <mergeCell ref="J394:K394"/>
    <mergeCell ref="N394:T394"/>
    <mergeCell ref="U394:V394"/>
    <mergeCell ref="C395:I395"/>
    <mergeCell ref="J395:K395"/>
    <mergeCell ref="N395:T395"/>
    <mergeCell ref="U395:V395"/>
    <mergeCell ref="J404:K404"/>
    <mergeCell ref="B405:K405"/>
    <mergeCell ref="H410:I410"/>
    <mergeCell ref="C411:I411"/>
    <mergeCell ref="H413:I413"/>
    <mergeCell ref="C414:I414"/>
    <mergeCell ref="C396:I396"/>
    <mergeCell ref="J396:K396"/>
    <mergeCell ref="N396:T396"/>
    <mergeCell ref="B400:F400"/>
  </mergeCells>
  <pageMargins left="0.4" right="0.2" top="0.2" bottom="0.4" header="0.2" footer="0.2"/>
  <pageSetup paperSize="9" scale="60" orientation="portrait" horizontalDpi="300" verticalDpi="30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W302"/>
  <sheetViews>
    <sheetView topLeftCell="A142" workbookViewId="0">
      <selection activeCell="I175" sqref="I175"/>
    </sheetView>
  </sheetViews>
  <sheetFormatPr defaultRowHeight="12.75" x14ac:dyDescent="0.2"/>
  <sheetData>
    <row r="1" spans="1:133" x14ac:dyDescent="0.2">
      <c r="A1">
        <v>0</v>
      </c>
      <c r="B1" t="s">
        <v>0</v>
      </c>
      <c r="D1" t="s">
        <v>1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21826479</v>
      </c>
    </row>
    <row r="12" spans="1:133" x14ac:dyDescent="0.2">
      <c r="A12" s="1">
        <v>1</v>
      </c>
      <c r="B12" s="1">
        <v>297</v>
      </c>
      <c r="C12" s="1">
        <v>0</v>
      </c>
      <c r="D12" s="1">
        <f>ROW(A268)</f>
        <v>268</v>
      </c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/>
      <c r="L12" s="1"/>
      <c r="M12" s="1"/>
      <c r="N12" s="1"/>
      <c r="O12" s="1">
        <v>0</v>
      </c>
      <c r="P12" s="1">
        <v>0</v>
      </c>
      <c r="Q12" s="1">
        <v>2</v>
      </c>
      <c r="R12" s="1">
        <v>167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0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6</v>
      </c>
      <c r="BQ12" s="1">
        <v>2</v>
      </c>
      <c r="BR12" s="1">
        <v>0</v>
      </c>
      <c r="BS12" s="1">
        <v>0</v>
      </c>
      <c r="BT12" s="1">
        <v>0</v>
      </c>
      <c r="BU12" s="1">
        <v>0</v>
      </c>
      <c r="BV12" s="1">
        <v>1</v>
      </c>
      <c r="BW12" s="1">
        <v>1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5" spans="1:133" x14ac:dyDescent="0.2">
      <c r="A15" s="1">
        <v>15</v>
      </c>
      <c r="B15" s="1">
        <v>1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</row>
    <row r="18" spans="1:205" x14ac:dyDescent="0.2">
      <c r="A18" s="2">
        <v>52</v>
      </c>
      <c r="B18" s="2">
        <f t="shared" ref="B18:G18" si="0">B268</f>
        <v>297</v>
      </c>
      <c r="C18" s="2">
        <f t="shared" si="0"/>
        <v>1</v>
      </c>
      <c r="D18" s="2">
        <f t="shared" si="0"/>
        <v>12</v>
      </c>
      <c r="E18" s="2">
        <f t="shared" si="0"/>
        <v>0</v>
      </c>
      <c r="F18" s="2" t="str">
        <f t="shared" si="0"/>
        <v>Новый объект</v>
      </c>
      <c r="G18" s="2" t="str">
        <f t="shared" si="0"/>
        <v>Подмосковная ул., вл. 16</v>
      </c>
      <c r="H18" s="2"/>
      <c r="I18" s="2"/>
      <c r="J18" s="2"/>
      <c r="K18" s="2"/>
      <c r="L18" s="2"/>
      <c r="M18" s="2"/>
      <c r="N18" s="2"/>
      <c r="O18" s="2">
        <f t="shared" ref="O18:AT18" si="1">O268</f>
        <v>10919730.689999999</v>
      </c>
      <c r="P18" s="2">
        <f t="shared" si="1"/>
        <v>4659901.8499999996</v>
      </c>
      <c r="Q18" s="2">
        <f t="shared" si="1"/>
        <v>2399701.85</v>
      </c>
      <c r="R18" s="2">
        <f t="shared" si="1"/>
        <v>44198.29</v>
      </c>
      <c r="S18" s="2">
        <f t="shared" si="1"/>
        <v>3860126.99</v>
      </c>
      <c r="T18" s="2">
        <f t="shared" si="1"/>
        <v>0</v>
      </c>
      <c r="U18" s="2">
        <f t="shared" si="1"/>
        <v>1141.0497640173919</v>
      </c>
      <c r="V18" s="2">
        <f t="shared" si="1"/>
        <v>0</v>
      </c>
      <c r="W18" s="2">
        <f t="shared" si="1"/>
        <v>915.4</v>
      </c>
      <c r="X18" s="2">
        <f t="shared" si="1"/>
        <v>303722.88</v>
      </c>
      <c r="Y18" s="2">
        <f t="shared" si="1"/>
        <v>147306.81</v>
      </c>
      <c r="Z18" s="2">
        <f t="shared" si="1"/>
        <v>0</v>
      </c>
      <c r="AA18" s="2">
        <f t="shared" si="1"/>
        <v>0</v>
      </c>
      <c r="AB18" s="2">
        <f t="shared" si="1"/>
        <v>0</v>
      </c>
      <c r="AC18" s="2">
        <f t="shared" si="1"/>
        <v>0</v>
      </c>
      <c r="AD18" s="2">
        <f t="shared" si="1"/>
        <v>0</v>
      </c>
      <c r="AE18" s="2">
        <f t="shared" si="1"/>
        <v>0</v>
      </c>
      <c r="AF18" s="2">
        <f t="shared" si="1"/>
        <v>0</v>
      </c>
      <c r="AG18" s="2">
        <f t="shared" si="1"/>
        <v>0</v>
      </c>
      <c r="AH18" s="2">
        <f t="shared" si="1"/>
        <v>0</v>
      </c>
      <c r="AI18" s="2">
        <f t="shared" si="1"/>
        <v>0</v>
      </c>
      <c r="AJ18" s="2">
        <f t="shared" si="1"/>
        <v>0</v>
      </c>
      <c r="AK18" s="2">
        <f t="shared" si="1"/>
        <v>0</v>
      </c>
      <c r="AL18" s="2">
        <f t="shared" si="1"/>
        <v>0</v>
      </c>
      <c r="AM18" s="2">
        <f t="shared" si="1"/>
        <v>0</v>
      </c>
      <c r="AN18" s="2">
        <f t="shared" si="1"/>
        <v>0</v>
      </c>
      <c r="AO18" s="2">
        <f t="shared" si="1"/>
        <v>0</v>
      </c>
      <c r="AP18" s="2">
        <f t="shared" si="1"/>
        <v>94388.08</v>
      </c>
      <c r="AQ18" s="2">
        <f t="shared" si="1"/>
        <v>0</v>
      </c>
      <c r="AR18" s="2">
        <f t="shared" si="1"/>
        <v>11444571.529999999</v>
      </c>
      <c r="AS18" s="2">
        <f t="shared" si="1"/>
        <v>10524714.25</v>
      </c>
      <c r="AT18" s="2">
        <f t="shared" si="1"/>
        <v>0</v>
      </c>
      <c r="AU18" s="2">
        <f t="shared" ref="AU18:BZ18" si="2">AU268</f>
        <v>825469.2</v>
      </c>
      <c r="AV18" s="2">
        <f t="shared" si="2"/>
        <v>4659901.8499999996</v>
      </c>
      <c r="AW18" s="2">
        <f t="shared" si="2"/>
        <v>4565513.7699999996</v>
      </c>
      <c r="AX18" s="2">
        <f t="shared" si="2"/>
        <v>0</v>
      </c>
      <c r="AY18" s="2">
        <f t="shared" si="2"/>
        <v>4565513.7699999996</v>
      </c>
      <c r="AZ18" s="2">
        <f t="shared" si="2"/>
        <v>94388.08</v>
      </c>
      <c r="BA18" s="2">
        <f t="shared" si="2"/>
        <v>0</v>
      </c>
      <c r="BB18" s="2">
        <f t="shared" si="2"/>
        <v>0</v>
      </c>
      <c r="BC18" s="2">
        <f t="shared" si="2"/>
        <v>0</v>
      </c>
      <c r="BD18" s="2">
        <f t="shared" si="2"/>
        <v>0</v>
      </c>
      <c r="BE18" s="2">
        <f t="shared" si="2"/>
        <v>0</v>
      </c>
      <c r="BF18" s="2">
        <f t="shared" si="2"/>
        <v>0</v>
      </c>
      <c r="BG18" s="2">
        <f t="shared" si="2"/>
        <v>0</v>
      </c>
      <c r="BH18" s="2">
        <f t="shared" si="2"/>
        <v>0</v>
      </c>
      <c r="BI18" s="2">
        <f t="shared" si="2"/>
        <v>0</v>
      </c>
      <c r="BJ18" s="2">
        <f t="shared" si="2"/>
        <v>0</v>
      </c>
      <c r="BK18" s="2">
        <f t="shared" si="2"/>
        <v>0</v>
      </c>
      <c r="BL18" s="2">
        <f t="shared" si="2"/>
        <v>0</v>
      </c>
      <c r="BM18" s="2">
        <f t="shared" si="2"/>
        <v>0</v>
      </c>
      <c r="BN18" s="2">
        <f t="shared" si="2"/>
        <v>0</v>
      </c>
      <c r="BO18" s="3">
        <f t="shared" si="2"/>
        <v>0</v>
      </c>
      <c r="BP18" s="3">
        <f t="shared" si="2"/>
        <v>0</v>
      </c>
      <c r="BQ18" s="3">
        <f t="shared" si="2"/>
        <v>0</v>
      </c>
      <c r="BR18" s="3">
        <f t="shared" si="2"/>
        <v>0</v>
      </c>
      <c r="BS18" s="3">
        <f t="shared" si="2"/>
        <v>0</v>
      </c>
      <c r="BT18" s="3">
        <f t="shared" si="2"/>
        <v>0</v>
      </c>
      <c r="BU18" s="3">
        <f t="shared" si="2"/>
        <v>0</v>
      </c>
      <c r="BV18" s="3">
        <f t="shared" si="2"/>
        <v>0</v>
      </c>
      <c r="BW18" s="3">
        <f t="shared" si="2"/>
        <v>0</v>
      </c>
      <c r="BX18" s="3">
        <f t="shared" si="2"/>
        <v>0</v>
      </c>
      <c r="BY18" s="3">
        <f t="shared" si="2"/>
        <v>0</v>
      </c>
      <c r="BZ18" s="3">
        <f t="shared" si="2"/>
        <v>0</v>
      </c>
      <c r="CA18" s="3">
        <f t="shared" ref="CA18:DF18" si="3">CA268</f>
        <v>0</v>
      </c>
      <c r="CB18" s="3">
        <f t="shared" si="3"/>
        <v>0</v>
      </c>
      <c r="CC18" s="3">
        <f t="shared" si="3"/>
        <v>0</v>
      </c>
      <c r="CD18" s="3">
        <f t="shared" si="3"/>
        <v>0</v>
      </c>
      <c r="CE18" s="3">
        <f t="shared" si="3"/>
        <v>0</v>
      </c>
      <c r="CF18" s="3">
        <f t="shared" si="3"/>
        <v>0</v>
      </c>
      <c r="CG18" s="3">
        <f t="shared" si="3"/>
        <v>0</v>
      </c>
      <c r="CH18" s="3">
        <f t="shared" si="3"/>
        <v>0</v>
      </c>
      <c r="CI18" s="3">
        <f t="shared" si="3"/>
        <v>0</v>
      </c>
      <c r="CJ18" s="3">
        <f t="shared" si="3"/>
        <v>0</v>
      </c>
      <c r="CK18" s="3">
        <f t="shared" si="3"/>
        <v>0</v>
      </c>
      <c r="CL18" s="3">
        <f t="shared" si="3"/>
        <v>0</v>
      </c>
      <c r="CM18" s="3">
        <f t="shared" si="3"/>
        <v>0</v>
      </c>
      <c r="CN18" s="3">
        <f t="shared" si="3"/>
        <v>0</v>
      </c>
      <c r="CO18" s="3">
        <f t="shared" si="3"/>
        <v>0</v>
      </c>
      <c r="CP18" s="3">
        <f t="shared" si="3"/>
        <v>0</v>
      </c>
      <c r="CQ18" s="3">
        <f t="shared" si="3"/>
        <v>0</v>
      </c>
      <c r="CR18" s="3">
        <f t="shared" si="3"/>
        <v>0</v>
      </c>
      <c r="CS18" s="3">
        <f t="shared" si="3"/>
        <v>0</v>
      </c>
      <c r="CT18" s="3">
        <f t="shared" si="3"/>
        <v>0</v>
      </c>
      <c r="CU18" s="3">
        <f t="shared" si="3"/>
        <v>0</v>
      </c>
      <c r="CV18" s="3">
        <f t="shared" si="3"/>
        <v>0</v>
      </c>
      <c r="CW18" s="3">
        <f t="shared" si="3"/>
        <v>0</v>
      </c>
      <c r="CX18" s="3">
        <f t="shared" si="3"/>
        <v>0</v>
      </c>
      <c r="CY18" s="3">
        <f t="shared" si="3"/>
        <v>0</v>
      </c>
      <c r="CZ18" s="3">
        <f t="shared" si="3"/>
        <v>0</v>
      </c>
      <c r="DA18" s="3">
        <f t="shared" si="3"/>
        <v>0</v>
      </c>
      <c r="DB18" s="3">
        <f t="shared" si="3"/>
        <v>0</v>
      </c>
      <c r="DC18" s="3">
        <f t="shared" si="3"/>
        <v>0</v>
      </c>
      <c r="DD18" s="3">
        <f t="shared" si="3"/>
        <v>0</v>
      </c>
      <c r="DE18" s="3">
        <f t="shared" si="3"/>
        <v>0</v>
      </c>
      <c r="DF18" s="3">
        <f t="shared" si="3"/>
        <v>0</v>
      </c>
      <c r="DG18" s="3">
        <f t="shared" ref="DG18:DN18" si="4">DG268</f>
        <v>0</v>
      </c>
      <c r="DH18" s="3">
        <f t="shared" si="4"/>
        <v>0</v>
      </c>
      <c r="DI18" s="3">
        <f t="shared" si="4"/>
        <v>0</v>
      </c>
      <c r="DJ18" s="3">
        <f t="shared" si="4"/>
        <v>0</v>
      </c>
      <c r="DK18" s="3">
        <f t="shared" si="4"/>
        <v>0</v>
      </c>
      <c r="DL18" s="3">
        <f t="shared" si="4"/>
        <v>0</v>
      </c>
      <c r="DM18" s="3">
        <f t="shared" si="4"/>
        <v>0</v>
      </c>
      <c r="DN18" s="3">
        <f t="shared" si="4"/>
        <v>0</v>
      </c>
    </row>
    <row r="20" spans="1:205" x14ac:dyDescent="0.2">
      <c r="A20" s="1">
        <v>3</v>
      </c>
      <c r="B20" s="1">
        <v>1</v>
      </c>
      <c r="C20" s="1"/>
      <c r="D20" s="1">
        <f>ROW(A242)</f>
        <v>242</v>
      </c>
      <c r="E20" s="1"/>
      <c r="F20" s="1" t="s">
        <v>11</v>
      </c>
      <c r="G20" s="1"/>
      <c r="H20" s="1" t="s">
        <v>3</v>
      </c>
      <c r="I20" s="1">
        <v>0</v>
      </c>
      <c r="J20" s="1" t="s">
        <v>3</v>
      </c>
      <c r="K20" s="1">
        <v>-1</v>
      </c>
      <c r="L20" s="1"/>
      <c r="M20" s="1"/>
      <c r="N20" s="1"/>
      <c r="O20" s="1"/>
      <c r="P20" s="1"/>
      <c r="Q20" s="1"/>
      <c r="R20" s="1"/>
      <c r="S20" s="1"/>
      <c r="T20" s="1"/>
      <c r="U20" s="1" t="s">
        <v>3</v>
      </c>
      <c r="V20" s="1">
        <v>0</v>
      </c>
      <c r="W20" s="1"/>
      <c r="X20" s="1"/>
      <c r="Y20" s="1"/>
      <c r="Z20" s="1"/>
      <c r="AA20" s="1"/>
      <c r="AB20" s="1" t="s">
        <v>3</v>
      </c>
      <c r="AC20" s="1" t="s">
        <v>3</v>
      </c>
      <c r="AD20" s="1" t="s">
        <v>3</v>
      </c>
      <c r="AE20" s="1" t="s">
        <v>3</v>
      </c>
      <c r="AF20" s="1" t="s">
        <v>3</v>
      </c>
      <c r="AG20" s="1" t="s">
        <v>3</v>
      </c>
      <c r="AH20" s="1"/>
      <c r="AI20" s="1"/>
      <c r="AJ20" s="1"/>
      <c r="AK20" s="1"/>
      <c r="AL20" s="1"/>
      <c r="AM20" s="1"/>
      <c r="AN20" s="1"/>
      <c r="AO20" s="1"/>
      <c r="AP20" s="1" t="s">
        <v>3</v>
      </c>
      <c r="AQ20" s="1" t="s">
        <v>3</v>
      </c>
      <c r="AR20" s="1" t="s">
        <v>3</v>
      </c>
      <c r="AS20" s="1"/>
      <c r="AT20" s="1"/>
      <c r="AU20" s="1"/>
      <c r="AV20" s="1"/>
      <c r="AW20" s="1"/>
      <c r="AX20" s="1"/>
      <c r="AY20" s="1"/>
      <c r="AZ20" s="1" t="s">
        <v>3</v>
      </c>
      <c r="BA20" s="1"/>
      <c r="BB20" s="1" t="s">
        <v>3</v>
      </c>
      <c r="BC20" s="1" t="s">
        <v>3</v>
      </c>
      <c r="BD20" s="1" t="s">
        <v>3</v>
      </c>
      <c r="BE20" s="1" t="s">
        <v>3</v>
      </c>
      <c r="BF20" s="1" t="s">
        <v>3</v>
      </c>
      <c r="BG20" s="1" t="s">
        <v>3</v>
      </c>
      <c r="BH20" s="1" t="s">
        <v>3</v>
      </c>
      <c r="BI20" s="1" t="s">
        <v>3</v>
      </c>
      <c r="BJ20" s="1" t="s">
        <v>3</v>
      </c>
      <c r="BK20" s="1" t="s">
        <v>3</v>
      </c>
      <c r="BL20" s="1" t="s">
        <v>3</v>
      </c>
      <c r="BM20" s="1" t="s">
        <v>3</v>
      </c>
      <c r="BN20" s="1" t="s">
        <v>3</v>
      </c>
      <c r="BO20" s="1" t="s">
        <v>3</v>
      </c>
      <c r="BP20" s="1" t="s">
        <v>3</v>
      </c>
      <c r="BQ20" s="1"/>
      <c r="BR20" s="1"/>
      <c r="BS20" s="1"/>
      <c r="BT20" s="1"/>
      <c r="BU20" s="1"/>
      <c r="BV20" s="1"/>
      <c r="BW20" s="1"/>
      <c r="BX20" s="1">
        <v>0</v>
      </c>
      <c r="BY20" s="1"/>
      <c r="BZ20" s="1"/>
      <c r="CA20" s="1"/>
      <c r="CB20" s="1"/>
      <c r="CC20" s="1"/>
      <c r="CD20" s="1"/>
      <c r="CE20" s="1"/>
      <c r="CF20" s="1">
        <v>0</v>
      </c>
      <c r="CG20" s="1">
        <v>0</v>
      </c>
      <c r="CH20" s="1"/>
      <c r="CI20" s="1" t="s">
        <v>3</v>
      </c>
      <c r="CJ20" s="1" t="s">
        <v>3</v>
      </c>
    </row>
    <row r="22" spans="1:205" x14ac:dyDescent="0.2">
      <c r="A22" s="2">
        <v>52</v>
      </c>
      <c r="B22" s="2">
        <f t="shared" ref="B22:G22" si="5">B242</f>
        <v>1</v>
      </c>
      <c r="C22" s="2">
        <f t="shared" si="5"/>
        <v>3</v>
      </c>
      <c r="D22" s="2">
        <f t="shared" si="5"/>
        <v>20</v>
      </c>
      <c r="E22" s="2">
        <f t="shared" si="5"/>
        <v>0</v>
      </c>
      <c r="F22" s="2" t="str">
        <f t="shared" si="5"/>
        <v>Новая локальная смета</v>
      </c>
      <c r="G22" s="2" t="str">
        <f t="shared" si="5"/>
        <v/>
      </c>
      <c r="H22" s="2"/>
      <c r="I22" s="2"/>
      <c r="J22" s="2"/>
      <c r="K22" s="2"/>
      <c r="L22" s="2"/>
      <c r="M22" s="2"/>
      <c r="N22" s="2"/>
      <c r="O22" s="2">
        <f t="shared" ref="O22:AT22" si="6">O242</f>
        <v>10919730.689999999</v>
      </c>
      <c r="P22" s="2">
        <f t="shared" si="6"/>
        <v>4659901.8499999996</v>
      </c>
      <c r="Q22" s="2">
        <f t="shared" si="6"/>
        <v>2399701.85</v>
      </c>
      <c r="R22" s="2">
        <f t="shared" si="6"/>
        <v>44198.29</v>
      </c>
      <c r="S22" s="2">
        <f t="shared" si="6"/>
        <v>3860126.99</v>
      </c>
      <c r="T22" s="2">
        <f t="shared" si="6"/>
        <v>0</v>
      </c>
      <c r="U22" s="2">
        <f t="shared" si="6"/>
        <v>1141.0497640173919</v>
      </c>
      <c r="V22" s="2">
        <f t="shared" si="6"/>
        <v>0</v>
      </c>
      <c r="W22" s="2">
        <f t="shared" si="6"/>
        <v>915.4</v>
      </c>
      <c r="X22" s="2">
        <f t="shared" si="6"/>
        <v>303722.88</v>
      </c>
      <c r="Y22" s="2">
        <f t="shared" si="6"/>
        <v>147306.81</v>
      </c>
      <c r="Z22" s="2">
        <f t="shared" si="6"/>
        <v>0</v>
      </c>
      <c r="AA22" s="2">
        <f t="shared" si="6"/>
        <v>0</v>
      </c>
      <c r="AB22" s="2">
        <f t="shared" si="6"/>
        <v>0</v>
      </c>
      <c r="AC22" s="2">
        <f t="shared" si="6"/>
        <v>0</v>
      </c>
      <c r="AD22" s="2">
        <f t="shared" si="6"/>
        <v>0</v>
      </c>
      <c r="AE22" s="2">
        <f t="shared" si="6"/>
        <v>0</v>
      </c>
      <c r="AF22" s="2">
        <f t="shared" si="6"/>
        <v>0</v>
      </c>
      <c r="AG22" s="2">
        <f t="shared" si="6"/>
        <v>0</v>
      </c>
      <c r="AH22" s="2">
        <f t="shared" si="6"/>
        <v>0</v>
      </c>
      <c r="AI22" s="2">
        <f t="shared" si="6"/>
        <v>0</v>
      </c>
      <c r="AJ22" s="2">
        <f t="shared" si="6"/>
        <v>0</v>
      </c>
      <c r="AK22" s="2">
        <f t="shared" si="6"/>
        <v>0</v>
      </c>
      <c r="AL22" s="2">
        <f t="shared" si="6"/>
        <v>0</v>
      </c>
      <c r="AM22" s="2">
        <f t="shared" si="6"/>
        <v>0</v>
      </c>
      <c r="AN22" s="2">
        <f t="shared" si="6"/>
        <v>0</v>
      </c>
      <c r="AO22" s="2">
        <f t="shared" si="6"/>
        <v>0</v>
      </c>
      <c r="AP22" s="2">
        <f t="shared" si="6"/>
        <v>94388.08</v>
      </c>
      <c r="AQ22" s="2">
        <f t="shared" si="6"/>
        <v>0</v>
      </c>
      <c r="AR22" s="2">
        <f t="shared" si="6"/>
        <v>11444571.529999999</v>
      </c>
      <c r="AS22" s="2">
        <f t="shared" si="6"/>
        <v>10524714.25</v>
      </c>
      <c r="AT22" s="2">
        <f t="shared" si="6"/>
        <v>0</v>
      </c>
      <c r="AU22" s="2">
        <f t="shared" ref="AU22:BZ22" si="7">AU242</f>
        <v>825469.2</v>
      </c>
      <c r="AV22" s="2">
        <f t="shared" si="7"/>
        <v>4659901.8499999996</v>
      </c>
      <c r="AW22" s="2">
        <f t="shared" si="7"/>
        <v>4565513.7699999996</v>
      </c>
      <c r="AX22" s="2">
        <f t="shared" si="7"/>
        <v>0</v>
      </c>
      <c r="AY22" s="2">
        <f t="shared" si="7"/>
        <v>4565513.7699999996</v>
      </c>
      <c r="AZ22" s="2">
        <f t="shared" si="7"/>
        <v>94388.08</v>
      </c>
      <c r="BA22" s="2">
        <f t="shared" si="7"/>
        <v>0</v>
      </c>
      <c r="BB22" s="2">
        <f t="shared" si="7"/>
        <v>0</v>
      </c>
      <c r="BC22" s="2">
        <f t="shared" si="7"/>
        <v>0</v>
      </c>
      <c r="BD22" s="2">
        <f t="shared" si="7"/>
        <v>0</v>
      </c>
      <c r="BE22" s="2">
        <f t="shared" si="7"/>
        <v>0</v>
      </c>
      <c r="BF22" s="2">
        <f t="shared" si="7"/>
        <v>0</v>
      </c>
      <c r="BG22" s="2">
        <f t="shared" si="7"/>
        <v>0</v>
      </c>
      <c r="BH22" s="2">
        <f t="shared" si="7"/>
        <v>0</v>
      </c>
      <c r="BI22" s="2">
        <f t="shared" si="7"/>
        <v>0</v>
      </c>
      <c r="BJ22" s="2">
        <f t="shared" si="7"/>
        <v>0</v>
      </c>
      <c r="BK22" s="2">
        <f t="shared" si="7"/>
        <v>0</v>
      </c>
      <c r="BL22" s="2">
        <f t="shared" si="7"/>
        <v>0</v>
      </c>
      <c r="BM22" s="2">
        <f t="shared" si="7"/>
        <v>0</v>
      </c>
      <c r="BN22" s="2">
        <f t="shared" si="7"/>
        <v>0</v>
      </c>
      <c r="BO22" s="3">
        <f t="shared" si="7"/>
        <v>0</v>
      </c>
      <c r="BP22" s="3">
        <f t="shared" si="7"/>
        <v>0</v>
      </c>
      <c r="BQ22" s="3">
        <f t="shared" si="7"/>
        <v>0</v>
      </c>
      <c r="BR22" s="3">
        <f t="shared" si="7"/>
        <v>0</v>
      </c>
      <c r="BS22" s="3">
        <f t="shared" si="7"/>
        <v>0</v>
      </c>
      <c r="BT22" s="3">
        <f t="shared" si="7"/>
        <v>0</v>
      </c>
      <c r="BU22" s="3">
        <f t="shared" si="7"/>
        <v>0</v>
      </c>
      <c r="BV22" s="3">
        <f t="shared" si="7"/>
        <v>0</v>
      </c>
      <c r="BW22" s="3">
        <f t="shared" si="7"/>
        <v>0</v>
      </c>
      <c r="BX22" s="3">
        <f t="shared" si="7"/>
        <v>0</v>
      </c>
      <c r="BY22" s="3">
        <f t="shared" si="7"/>
        <v>0</v>
      </c>
      <c r="BZ22" s="3">
        <f t="shared" si="7"/>
        <v>0</v>
      </c>
      <c r="CA22" s="3">
        <f t="shared" ref="CA22:DF22" si="8">CA242</f>
        <v>0</v>
      </c>
      <c r="CB22" s="3">
        <f t="shared" si="8"/>
        <v>0</v>
      </c>
      <c r="CC22" s="3">
        <f t="shared" si="8"/>
        <v>0</v>
      </c>
      <c r="CD22" s="3">
        <f t="shared" si="8"/>
        <v>0</v>
      </c>
      <c r="CE22" s="3">
        <f t="shared" si="8"/>
        <v>0</v>
      </c>
      <c r="CF22" s="3">
        <f t="shared" si="8"/>
        <v>0</v>
      </c>
      <c r="CG22" s="3">
        <f t="shared" si="8"/>
        <v>0</v>
      </c>
      <c r="CH22" s="3">
        <f t="shared" si="8"/>
        <v>0</v>
      </c>
      <c r="CI22" s="3">
        <f t="shared" si="8"/>
        <v>0</v>
      </c>
      <c r="CJ22" s="3">
        <f t="shared" si="8"/>
        <v>0</v>
      </c>
      <c r="CK22" s="3">
        <f t="shared" si="8"/>
        <v>0</v>
      </c>
      <c r="CL22" s="3">
        <f t="shared" si="8"/>
        <v>0</v>
      </c>
      <c r="CM22" s="3">
        <f t="shared" si="8"/>
        <v>0</v>
      </c>
      <c r="CN22" s="3">
        <f t="shared" si="8"/>
        <v>0</v>
      </c>
      <c r="CO22" s="3">
        <f t="shared" si="8"/>
        <v>0</v>
      </c>
      <c r="CP22" s="3">
        <f t="shared" si="8"/>
        <v>0</v>
      </c>
      <c r="CQ22" s="3">
        <f t="shared" si="8"/>
        <v>0</v>
      </c>
      <c r="CR22" s="3">
        <f t="shared" si="8"/>
        <v>0</v>
      </c>
      <c r="CS22" s="3">
        <f t="shared" si="8"/>
        <v>0</v>
      </c>
      <c r="CT22" s="3">
        <f t="shared" si="8"/>
        <v>0</v>
      </c>
      <c r="CU22" s="3">
        <f t="shared" si="8"/>
        <v>0</v>
      </c>
      <c r="CV22" s="3">
        <f t="shared" si="8"/>
        <v>0</v>
      </c>
      <c r="CW22" s="3">
        <f t="shared" si="8"/>
        <v>0</v>
      </c>
      <c r="CX22" s="3">
        <f t="shared" si="8"/>
        <v>0</v>
      </c>
      <c r="CY22" s="3">
        <f t="shared" si="8"/>
        <v>0</v>
      </c>
      <c r="CZ22" s="3">
        <f t="shared" si="8"/>
        <v>0</v>
      </c>
      <c r="DA22" s="3">
        <f t="shared" si="8"/>
        <v>0</v>
      </c>
      <c r="DB22" s="3">
        <f t="shared" si="8"/>
        <v>0</v>
      </c>
      <c r="DC22" s="3">
        <f t="shared" si="8"/>
        <v>0</v>
      </c>
      <c r="DD22" s="3">
        <f t="shared" si="8"/>
        <v>0</v>
      </c>
      <c r="DE22" s="3">
        <f t="shared" si="8"/>
        <v>0</v>
      </c>
      <c r="DF22" s="3">
        <f t="shared" si="8"/>
        <v>0</v>
      </c>
      <c r="DG22" s="3">
        <f t="shared" ref="DG22:DN22" si="9">DG242</f>
        <v>0</v>
      </c>
      <c r="DH22" s="3">
        <f t="shared" si="9"/>
        <v>0</v>
      </c>
      <c r="DI22" s="3">
        <f t="shared" si="9"/>
        <v>0</v>
      </c>
      <c r="DJ22" s="3">
        <f t="shared" si="9"/>
        <v>0</v>
      </c>
      <c r="DK22" s="3">
        <f t="shared" si="9"/>
        <v>0</v>
      </c>
      <c r="DL22" s="3">
        <f t="shared" si="9"/>
        <v>0</v>
      </c>
      <c r="DM22" s="3">
        <f t="shared" si="9"/>
        <v>0</v>
      </c>
      <c r="DN22" s="3">
        <f t="shared" si="9"/>
        <v>0</v>
      </c>
    </row>
    <row r="24" spans="1:205" x14ac:dyDescent="0.2">
      <c r="A24" s="1">
        <v>4</v>
      </c>
      <c r="B24" s="1">
        <v>1</v>
      </c>
      <c r="C24" s="1"/>
      <c r="D24" s="1">
        <f>ROW(A42)</f>
        <v>42</v>
      </c>
      <c r="E24" s="1"/>
      <c r="F24" s="1" t="s">
        <v>13</v>
      </c>
      <c r="G24" s="1" t="s">
        <v>14</v>
      </c>
      <c r="H24" s="1" t="s">
        <v>3</v>
      </c>
      <c r="I24" s="1">
        <v>0</v>
      </c>
      <c r="J24" s="1"/>
      <c r="K24" s="1">
        <v>-1</v>
      </c>
      <c r="L24" s="1"/>
      <c r="M24" s="1"/>
      <c r="N24" s="1"/>
      <c r="O24" s="1"/>
      <c r="P24" s="1"/>
      <c r="Q24" s="1"/>
      <c r="R24" s="1"/>
      <c r="S24" s="1"/>
      <c r="T24" s="1"/>
      <c r="U24" s="1" t="s">
        <v>3</v>
      </c>
      <c r="V24" s="1">
        <v>0</v>
      </c>
      <c r="W24" s="1"/>
      <c r="X24" s="1"/>
      <c r="Y24" s="1"/>
      <c r="Z24" s="1"/>
      <c r="AA24" s="1"/>
      <c r="AB24" s="1" t="s">
        <v>3</v>
      </c>
      <c r="AC24" s="1" t="s">
        <v>3</v>
      </c>
      <c r="AD24" s="1" t="s">
        <v>3</v>
      </c>
      <c r="AE24" s="1" t="s">
        <v>3</v>
      </c>
      <c r="AF24" s="1" t="s">
        <v>3</v>
      </c>
      <c r="AG24" s="1" t="s">
        <v>3</v>
      </c>
      <c r="AH24" s="1"/>
      <c r="AI24" s="1"/>
      <c r="AJ24" s="1"/>
      <c r="AK24" s="1"/>
      <c r="AL24" s="1"/>
      <c r="AM24" s="1"/>
      <c r="AN24" s="1"/>
      <c r="AO24" s="1"/>
      <c r="AP24" s="1" t="s">
        <v>3</v>
      </c>
      <c r="AQ24" s="1" t="s">
        <v>3</v>
      </c>
      <c r="AR24" s="1" t="s">
        <v>3</v>
      </c>
      <c r="AS24" s="1"/>
      <c r="AT24" s="1"/>
      <c r="AU24" s="1"/>
      <c r="AV24" s="1"/>
      <c r="AW24" s="1"/>
      <c r="AX24" s="1"/>
      <c r="AY24" s="1"/>
      <c r="AZ24" s="1" t="s">
        <v>3</v>
      </c>
      <c r="BA24" s="1"/>
      <c r="BB24" s="1" t="s">
        <v>3</v>
      </c>
      <c r="BC24" s="1" t="s">
        <v>3</v>
      </c>
      <c r="BD24" s="1" t="s">
        <v>3</v>
      </c>
      <c r="BE24" s="1" t="s">
        <v>3</v>
      </c>
      <c r="BF24" s="1" t="s">
        <v>3</v>
      </c>
      <c r="BG24" s="1" t="s">
        <v>3</v>
      </c>
      <c r="BH24" s="1" t="s">
        <v>3</v>
      </c>
      <c r="BI24" s="1" t="s">
        <v>3</v>
      </c>
      <c r="BJ24" s="1" t="s">
        <v>3</v>
      </c>
      <c r="BK24" s="1" t="s">
        <v>3</v>
      </c>
      <c r="BL24" s="1" t="s">
        <v>3</v>
      </c>
      <c r="BM24" s="1" t="s">
        <v>3</v>
      </c>
      <c r="BN24" s="1" t="s">
        <v>3</v>
      </c>
      <c r="BO24" s="1" t="s">
        <v>3</v>
      </c>
      <c r="BP24" s="1" t="s">
        <v>3</v>
      </c>
      <c r="BQ24" s="1"/>
      <c r="BR24" s="1"/>
      <c r="BS24" s="1"/>
      <c r="BT24" s="1"/>
      <c r="BU24" s="1"/>
      <c r="BV24" s="1"/>
      <c r="BW24" s="1"/>
      <c r="BX24" s="1">
        <v>0</v>
      </c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>
        <v>0</v>
      </c>
    </row>
    <row r="26" spans="1:205" x14ac:dyDescent="0.2">
      <c r="A26" s="2">
        <v>52</v>
      </c>
      <c r="B26" s="2">
        <f t="shared" ref="B26:G26" si="10">B42</f>
        <v>1</v>
      </c>
      <c r="C26" s="2">
        <f t="shared" si="10"/>
        <v>4</v>
      </c>
      <c r="D26" s="2">
        <f t="shared" si="10"/>
        <v>24</v>
      </c>
      <c r="E26" s="2">
        <f t="shared" si="10"/>
        <v>0</v>
      </c>
      <c r="F26" s="2" t="str">
        <f t="shared" si="10"/>
        <v>Новый раздел</v>
      </c>
      <c r="G26" s="2" t="str">
        <f t="shared" si="10"/>
        <v>Тепловая сеть 2Ду80 ППУ-ПЭ в непроходном канале - 50 п.м</v>
      </c>
      <c r="H26" s="2"/>
      <c r="I26" s="2"/>
      <c r="J26" s="2"/>
      <c r="K26" s="2"/>
      <c r="L26" s="2"/>
      <c r="M26" s="2"/>
      <c r="N26" s="2"/>
      <c r="O26" s="2">
        <f t="shared" ref="O26:AT26" si="11">O42</f>
        <v>5082438.7699999996</v>
      </c>
      <c r="P26" s="2">
        <f t="shared" si="11"/>
        <v>2111601.29</v>
      </c>
      <c r="Q26" s="2">
        <f t="shared" si="11"/>
        <v>1381340.32</v>
      </c>
      <c r="R26" s="2">
        <f t="shared" si="11"/>
        <v>21612.92</v>
      </c>
      <c r="S26" s="2">
        <f t="shared" si="11"/>
        <v>1589497.16</v>
      </c>
      <c r="T26" s="2">
        <f t="shared" si="11"/>
        <v>0</v>
      </c>
      <c r="U26" s="2">
        <f t="shared" si="11"/>
        <v>334.50723546720002</v>
      </c>
      <c r="V26" s="2">
        <f t="shared" si="11"/>
        <v>0</v>
      </c>
      <c r="W26" s="2">
        <f t="shared" si="11"/>
        <v>582.85</v>
      </c>
      <c r="X26" s="2">
        <f t="shared" si="11"/>
        <v>93804.92</v>
      </c>
      <c r="Y26" s="2">
        <f t="shared" si="11"/>
        <v>47808.49</v>
      </c>
      <c r="Z26" s="2">
        <f t="shared" si="11"/>
        <v>0</v>
      </c>
      <c r="AA26" s="2">
        <f t="shared" si="11"/>
        <v>0</v>
      </c>
      <c r="AB26" s="2">
        <f t="shared" si="11"/>
        <v>5082438.7699999996</v>
      </c>
      <c r="AC26" s="2">
        <f t="shared" si="11"/>
        <v>2111601.29</v>
      </c>
      <c r="AD26" s="2">
        <f t="shared" si="11"/>
        <v>1381340.32</v>
      </c>
      <c r="AE26" s="2">
        <f t="shared" si="11"/>
        <v>21612.92</v>
      </c>
      <c r="AF26" s="2">
        <f t="shared" si="11"/>
        <v>1589497.16</v>
      </c>
      <c r="AG26" s="2">
        <f t="shared" si="11"/>
        <v>0</v>
      </c>
      <c r="AH26" s="2">
        <f t="shared" si="11"/>
        <v>334.50723546720002</v>
      </c>
      <c r="AI26" s="2">
        <f t="shared" si="11"/>
        <v>0</v>
      </c>
      <c r="AJ26" s="2">
        <f t="shared" si="11"/>
        <v>582.85</v>
      </c>
      <c r="AK26" s="2">
        <f t="shared" si="11"/>
        <v>93804.92</v>
      </c>
      <c r="AL26" s="2">
        <f t="shared" si="11"/>
        <v>47808.49</v>
      </c>
      <c r="AM26" s="2">
        <f t="shared" si="11"/>
        <v>0</v>
      </c>
      <c r="AN26" s="2">
        <f t="shared" si="11"/>
        <v>0</v>
      </c>
      <c r="AO26" s="2">
        <f t="shared" si="11"/>
        <v>0</v>
      </c>
      <c r="AP26" s="2">
        <f t="shared" si="11"/>
        <v>0</v>
      </c>
      <c r="AQ26" s="2">
        <f t="shared" si="11"/>
        <v>0</v>
      </c>
      <c r="AR26" s="2">
        <f t="shared" si="11"/>
        <v>5260145.76</v>
      </c>
      <c r="AS26" s="2">
        <f t="shared" si="11"/>
        <v>4756626.46</v>
      </c>
      <c r="AT26" s="2">
        <f t="shared" si="11"/>
        <v>0</v>
      </c>
      <c r="AU26" s="2">
        <f t="shared" ref="AU26:BZ26" si="12">AU42</f>
        <v>503519.3</v>
      </c>
      <c r="AV26" s="2">
        <f t="shared" si="12"/>
        <v>2111601.29</v>
      </c>
      <c r="AW26" s="2">
        <f t="shared" si="12"/>
        <v>2111601.29</v>
      </c>
      <c r="AX26" s="2">
        <f t="shared" si="12"/>
        <v>0</v>
      </c>
      <c r="AY26" s="2">
        <f t="shared" si="12"/>
        <v>2111601.29</v>
      </c>
      <c r="AZ26" s="2">
        <f t="shared" si="12"/>
        <v>0</v>
      </c>
      <c r="BA26" s="2">
        <f t="shared" si="12"/>
        <v>0</v>
      </c>
      <c r="BB26" s="2">
        <f t="shared" si="12"/>
        <v>0</v>
      </c>
      <c r="BC26" s="2">
        <f t="shared" si="12"/>
        <v>0</v>
      </c>
      <c r="BD26" s="2">
        <f t="shared" si="12"/>
        <v>0</v>
      </c>
      <c r="BE26" s="2">
        <f t="shared" si="12"/>
        <v>5260145.76</v>
      </c>
      <c r="BF26" s="2">
        <f t="shared" si="12"/>
        <v>4756626.46</v>
      </c>
      <c r="BG26" s="2">
        <f t="shared" si="12"/>
        <v>0</v>
      </c>
      <c r="BH26" s="2">
        <f t="shared" si="12"/>
        <v>503519.3</v>
      </c>
      <c r="BI26" s="2">
        <f t="shared" si="12"/>
        <v>2111601.29</v>
      </c>
      <c r="BJ26" s="2">
        <f t="shared" si="12"/>
        <v>2111601.29</v>
      </c>
      <c r="BK26" s="2">
        <f t="shared" si="12"/>
        <v>0</v>
      </c>
      <c r="BL26" s="2">
        <f t="shared" si="12"/>
        <v>2111601.29</v>
      </c>
      <c r="BM26" s="2">
        <f t="shared" si="12"/>
        <v>0</v>
      </c>
      <c r="BN26" s="2">
        <f t="shared" si="12"/>
        <v>0</v>
      </c>
      <c r="BO26" s="3">
        <f t="shared" si="12"/>
        <v>0</v>
      </c>
      <c r="BP26" s="3">
        <f t="shared" si="12"/>
        <v>0</v>
      </c>
      <c r="BQ26" s="3">
        <f t="shared" si="12"/>
        <v>0</v>
      </c>
      <c r="BR26" s="3">
        <f t="shared" si="12"/>
        <v>0</v>
      </c>
      <c r="BS26" s="3">
        <f t="shared" si="12"/>
        <v>0</v>
      </c>
      <c r="BT26" s="3">
        <f t="shared" si="12"/>
        <v>0</v>
      </c>
      <c r="BU26" s="3">
        <f t="shared" si="12"/>
        <v>0</v>
      </c>
      <c r="BV26" s="3">
        <f t="shared" si="12"/>
        <v>0</v>
      </c>
      <c r="BW26" s="3">
        <f t="shared" si="12"/>
        <v>0</v>
      </c>
      <c r="BX26" s="3">
        <f t="shared" si="12"/>
        <v>0</v>
      </c>
      <c r="BY26" s="3">
        <f t="shared" si="12"/>
        <v>0</v>
      </c>
      <c r="BZ26" s="3">
        <f t="shared" si="12"/>
        <v>0</v>
      </c>
      <c r="CA26" s="3">
        <f t="shared" ref="CA26:DF26" si="13">CA42</f>
        <v>0</v>
      </c>
      <c r="CB26" s="3">
        <f t="shared" si="13"/>
        <v>0</v>
      </c>
      <c r="CC26" s="3">
        <f t="shared" si="13"/>
        <v>0</v>
      </c>
      <c r="CD26" s="3">
        <f t="shared" si="13"/>
        <v>0</v>
      </c>
      <c r="CE26" s="3">
        <f t="shared" si="13"/>
        <v>0</v>
      </c>
      <c r="CF26" s="3">
        <f t="shared" si="13"/>
        <v>0</v>
      </c>
      <c r="CG26" s="3">
        <f t="shared" si="13"/>
        <v>0</v>
      </c>
      <c r="CH26" s="3">
        <f t="shared" si="13"/>
        <v>0</v>
      </c>
      <c r="CI26" s="3">
        <f t="shared" si="13"/>
        <v>0</v>
      </c>
      <c r="CJ26" s="3">
        <f t="shared" si="13"/>
        <v>0</v>
      </c>
      <c r="CK26" s="3">
        <f t="shared" si="13"/>
        <v>0</v>
      </c>
      <c r="CL26" s="3">
        <f t="shared" si="13"/>
        <v>0</v>
      </c>
      <c r="CM26" s="3">
        <f t="shared" si="13"/>
        <v>0</v>
      </c>
      <c r="CN26" s="3">
        <f t="shared" si="13"/>
        <v>0</v>
      </c>
      <c r="CO26" s="3">
        <f t="shared" si="13"/>
        <v>0</v>
      </c>
      <c r="CP26" s="3">
        <f t="shared" si="13"/>
        <v>0</v>
      </c>
      <c r="CQ26" s="3">
        <f t="shared" si="13"/>
        <v>0</v>
      </c>
      <c r="CR26" s="3">
        <f t="shared" si="13"/>
        <v>0</v>
      </c>
      <c r="CS26" s="3">
        <f t="shared" si="13"/>
        <v>0</v>
      </c>
      <c r="CT26" s="3">
        <f t="shared" si="13"/>
        <v>0</v>
      </c>
      <c r="CU26" s="3">
        <f t="shared" si="13"/>
        <v>0</v>
      </c>
      <c r="CV26" s="3">
        <f t="shared" si="13"/>
        <v>0</v>
      </c>
      <c r="CW26" s="3">
        <f t="shared" si="13"/>
        <v>0</v>
      </c>
      <c r="CX26" s="3">
        <f t="shared" si="13"/>
        <v>0</v>
      </c>
      <c r="CY26" s="3">
        <f t="shared" si="13"/>
        <v>0</v>
      </c>
      <c r="CZ26" s="3">
        <f t="shared" si="13"/>
        <v>0</v>
      </c>
      <c r="DA26" s="3">
        <f t="shared" si="13"/>
        <v>0</v>
      </c>
      <c r="DB26" s="3">
        <f t="shared" si="13"/>
        <v>0</v>
      </c>
      <c r="DC26" s="3">
        <f t="shared" si="13"/>
        <v>0</v>
      </c>
      <c r="DD26" s="3">
        <f t="shared" si="13"/>
        <v>0</v>
      </c>
      <c r="DE26" s="3">
        <f t="shared" si="13"/>
        <v>0</v>
      </c>
      <c r="DF26" s="3">
        <f t="shared" si="13"/>
        <v>0</v>
      </c>
      <c r="DG26" s="3">
        <f t="shared" ref="DG26:DN26" si="14">DG42</f>
        <v>0</v>
      </c>
      <c r="DH26" s="3">
        <f t="shared" si="14"/>
        <v>0</v>
      </c>
      <c r="DI26" s="3">
        <f t="shared" si="14"/>
        <v>0</v>
      </c>
      <c r="DJ26" s="3">
        <f t="shared" si="14"/>
        <v>0</v>
      </c>
      <c r="DK26" s="3">
        <f t="shared" si="14"/>
        <v>0</v>
      </c>
      <c r="DL26" s="3">
        <f t="shared" si="14"/>
        <v>0</v>
      </c>
      <c r="DM26" s="3">
        <f t="shared" si="14"/>
        <v>0</v>
      </c>
      <c r="DN26" s="3">
        <f t="shared" si="14"/>
        <v>0</v>
      </c>
    </row>
    <row r="28" spans="1:205" x14ac:dyDescent="0.2">
      <c r="A28">
        <v>17</v>
      </c>
      <c r="B28">
        <v>1</v>
      </c>
      <c r="C28">
        <f>ROW(SmtRes!A4)</f>
        <v>4</v>
      </c>
      <c r="D28">
        <f>ROW(EtalonRes!A2)</f>
        <v>2</v>
      </c>
      <c r="E28" t="s">
        <v>15</v>
      </c>
      <c r="F28" t="s">
        <v>16</v>
      </c>
      <c r="G28" t="s">
        <v>17</v>
      </c>
      <c r="H28" t="s">
        <v>18</v>
      </c>
      <c r="I28">
        <v>50</v>
      </c>
      <c r="J28">
        <v>0</v>
      </c>
      <c r="O28">
        <f t="shared" ref="O28:O40" si="15">ROUND(CP28,2)</f>
        <v>4306003.03</v>
      </c>
      <c r="P28">
        <f t="shared" ref="P28:P40" si="16">ROUND(CQ28*I28,2)</f>
        <v>1973376</v>
      </c>
      <c r="Q28">
        <f t="shared" ref="Q28:Q40" si="17">ROUND(CR28*I28,2)</f>
        <v>827082.18</v>
      </c>
      <c r="R28">
        <f t="shared" ref="R28:R40" si="18">ROUND(CS28*I28,2)</f>
        <v>0</v>
      </c>
      <c r="S28">
        <f t="shared" ref="S28:S40" si="19">ROUND(CT28*I28,2)</f>
        <v>1505544.85</v>
      </c>
      <c r="T28">
        <f t="shared" ref="T28:T40" si="20">ROUND(CU28*I28,2)</f>
        <v>0</v>
      </c>
      <c r="U28">
        <f t="shared" ref="U28:U40" si="21">CV28*I28</f>
        <v>0</v>
      </c>
      <c r="V28">
        <f t="shared" ref="V28:V40" si="22">CW28*I28</f>
        <v>0</v>
      </c>
      <c r="W28">
        <f t="shared" ref="W28:W40" si="23">ROUND(CX28*I28,2)</f>
        <v>582.85</v>
      </c>
      <c r="X28">
        <f t="shared" ref="X28:X40" si="24">ROUND(CY28,2)</f>
        <v>0</v>
      </c>
      <c r="Y28">
        <f t="shared" ref="Y28:Y40" si="25">ROUND(CZ28,2)</f>
        <v>0</v>
      </c>
      <c r="AA28">
        <v>90163004</v>
      </c>
      <c r="AB28">
        <f t="shared" ref="AB28:AB40" si="26">ROUND((AC28+AD28+AF28),6)</f>
        <v>10607.92704</v>
      </c>
      <c r="AC28">
        <f>ROUND(((ES28*0.9*0.96)),6)</f>
        <v>6912</v>
      </c>
      <c r="AD28">
        <f>ROUND(((ET28*1.15*0.96*0.96)),6)</f>
        <v>1566.44352</v>
      </c>
      <c r="AE28">
        <f>ROUND(((EU28*1.15*0.96*0.96)),6)</f>
        <v>0</v>
      </c>
      <c r="AF28">
        <f>ROUND(((EV28*1.15*0.94*0.96)),6)</f>
        <v>2129.4835200000002</v>
      </c>
      <c r="AG28">
        <f t="shared" ref="AG28:AG40" si="27">ROUND((AP28),6)</f>
        <v>0</v>
      </c>
      <c r="AH28">
        <f>((EW28*1.15*0.94*0.96))</f>
        <v>0</v>
      </c>
      <c r="AI28">
        <f>((EX28*1.15*0.96*0.96))</f>
        <v>0</v>
      </c>
      <c r="AJ28">
        <f t="shared" ref="AJ28:AJ40" si="28">ROUND((AS28),6)</f>
        <v>11.657</v>
      </c>
      <c r="AK28">
        <v>11530</v>
      </c>
      <c r="AL28">
        <v>8000</v>
      </c>
      <c r="AM28">
        <v>1478</v>
      </c>
      <c r="AN28">
        <v>0</v>
      </c>
      <c r="AO28">
        <v>2052</v>
      </c>
      <c r="AP28">
        <v>0</v>
      </c>
      <c r="AQ28">
        <v>0</v>
      </c>
      <c r="AR28">
        <v>0</v>
      </c>
      <c r="AS28">
        <v>11.657</v>
      </c>
      <c r="AT28">
        <v>0</v>
      </c>
      <c r="AU28">
        <v>0</v>
      </c>
      <c r="AV28">
        <v>1</v>
      </c>
      <c r="AW28">
        <v>1</v>
      </c>
      <c r="AZ28">
        <v>1</v>
      </c>
      <c r="BA28">
        <v>14.14</v>
      </c>
      <c r="BB28">
        <v>10.56</v>
      </c>
      <c r="BC28">
        <v>5.71</v>
      </c>
      <c r="BD28" t="s">
        <v>3</v>
      </c>
      <c r="BE28" t="s">
        <v>3</v>
      </c>
      <c r="BF28" t="s">
        <v>3</v>
      </c>
      <c r="BG28" t="s">
        <v>3</v>
      </c>
      <c r="BH28">
        <v>0</v>
      </c>
      <c r="BI28">
        <v>1</v>
      </c>
      <c r="BJ28" t="s">
        <v>19</v>
      </c>
      <c r="BM28">
        <v>1114</v>
      </c>
      <c r="BN28">
        <v>0</v>
      </c>
      <c r="BO28" t="s">
        <v>16</v>
      </c>
      <c r="BP28">
        <v>1</v>
      </c>
      <c r="BQ28">
        <v>160</v>
      </c>
      <c r="BR28">
        <v>0</v>
      </c>
      <c r="BS28">
        <v>14.14</v>
      </c>
      <c r="BT28">
        <v>1</v>
      </c>
      <c r="BU28">
        <v>1</v>
      </c>
      <c r="BV28">
        <v>1</v>
      </c>
      <c r="BW28">
        <v>1</v>
      </c>
      <c r="BX28">
        <v>1</v>
      </c>
      <c r="BY28" t="s">
        <v>3</v>
      </c>
      <c r="BZ28">
        <v>0</v>
      </c>
      <c r="CA28">
        <v>0</v>
      </c>
      <c r="CF28">
        <v>0</v>
      </c>
      <c r="CG28">
        <v>0</v>
      </c>
      <c r="CM28">
        <v>0</v>
      </c>
      <c r="CN28" t="s">
        <v>20</v>
      </c>
      <c r="CO28">
        <v>0</v>
      </c>
      <c r="CP28">
        <f t="shared" ref="CP28:CP40" si="29">(P28+Q28+S28)</f>
        <v>4306003.03</v>
      </c>
      <c r="CQ28">
        <f t="shared" ref="CQ28:CQ40" si="30">(AC28*BC28*AW28)</f>
        <v>39467.519999999997</v>
      </c>
      <c r="CR28">
        <f t="shared" ref="CR28:CR40" si="31">(AD28*BB28*AV28)</f>
        <v>16541.643571200002</v>
      </c>
      <c r="CS28">
        <f t="shared" ref="CS28:CS40" si="32">(AE28*BS28*AV28)</f>
        <v>0</v>
      </c>
      <c r="CT28">
        <f t="shared" ref="CT28:CT40" si="33">(AF28*BA28*AV28)</f>
        <v>30110.896972800005</v>
      </c>
      <c r="CU28">
        <f t="shared" ref="CU28:CU40" si="34">AG28</f>
        <v>0</v>
      </c>
      <c r="CV28">
        <f t="shared" ref="CV28:CV40" si="35">(AH28*AV28)</f>
        <v>0</v>
      </c>
      <c r="CW28">
        <f t="shared" ref="CW28:CW40" si="36">AI28</f>
        <v>0</v>
      </c>
      <c r="CX28">
        <f t="shared" ref="CX28:CX40" si="37">AJ28</f>
        <v>11.657</v>
      </c>
      <c r="CY28">
        <f t="shared" ref="CY28:CY40" si="38">S28*(BZ28/100)</f>
        <v>0</v>
      </c>
      <c r="CZ28">
        <f t="shared" ref="CZ28:CZ40" si="39">S28*(CA28/100)</f>
        <v>0</v>
      </c>
      <c r="DC28" t="s">
        <v>3</v>
      </c>
      <c r="DD28" t="s">
        <v>21</v>
      </c>
      <c r="DE28" t="s">
        <v>22</v>
      </c>
      <c r="DF28" t="s">
        <v>22</v>
      </c>
      <c r="DG28" t="s">
        <v>23</v>
      </c>
      <c r="DH28" t="s">
        <v>3</v>
      </c>
      <c r="DI28" t="s">
        <v>23</v>
      </c>
      <c r="DJ28" t="s">
        <v>22</v>
      </c>
      <c r="DK28" t="s">
        <v>3</v>
      </c>
      <c r="DL28" t="s">
        <v>3</v>
      </c>
      <c r="DM28" t="s">
        <v>3</v>
      </c>
      <c r="DN28">
        <v>0</v>
      </c>
      <c r="DO28">
        <v>0</v>
      </c>
      <c r="DP28">
        <v>1</v>
      </c>
      <c r="DQ28">
        <v>1</v>
      </c>
      <c r="DU28">
        <v>1003</v>
      </c>
      <c r="DV28" t="s">
        <v>18</v>
      </c>
      <c r="DW28" t="s">
        <v>18</v>
      </c>
      <c r="DX28">
        <v>1</v>
      </c>
      <c r="EE28">
        <v>33196057</v>
      </c>
      <c r="EF28">
        <v>160</v>
      </c>
      <c r="EG28" t="s">
        <v>24</v>
      </c>
      <c r="EH28">
        <v>0</v>
      </c>
      <c r="EI28" t="s">
        <v>3</v>
      </c>
      <c r="EJ28">
        <v>1</v>
      </c>
      <c r="EK28">
        <v>1114</v>
      </c>
      <c r="EL28" t="s">
        <v>25</v>
      </c>
      <c r="EM28" t="s">
        <v>26</v>
      </c>
      <c r="EO28" t="s">
        <v>3</v>
      </c>
      <c r="EQ28">
        <v>256</v>
      </c>
      <c r="ER28">
        <v>11530</v>
      </c>
      <c r="ES28">
        <v>8000</v>
      </c>
      <c r="ET28">
        <v>1478</v>
      </c>
      <c r="EU28">
        <v>0</v>
      </c>
      <c r="EV28">
        <v>2052</v>
      </c>
      <c r="EW28">
        <v>0</v>
      </c>
      <c r="EX28">
        <v>0</v>
      </c>
      <c r="EY28">
        <v>0</v>
      </c>
      <c r="FQ28">
        <v>0</v>
      </c>
      <c r="FR28">
        <f t="shared" ref="FR28:FR40" si="40">ROUND(IF(AND(BH28=3,BI28=3),P28,0),2)</f>
        <v>0</v>
      </c>
      <c r="FS28">
        <v>0</v>
      </c>
      <c r="FX28">
        <v>0</v>
      </c>
      <c r="FY28">
        <v>0</v>
      </c>
      <c r="GA28" t="s">
        <v>3</v>
      </c>
      <c r="GD28">
        <v>0</v>
      </c>
      <c r="GF28">
        <v>-220265731</v>
      </c>
      <c r="GG28">
        <v>2</v>
      </c>
      <c r="GH28">
        <v>1</v>
      </c>
      <c r="GI28">
        <v>2</v>
      </c>
      <c r="GJ28">
        <v>0</v>
      </c>
      <c r="GK28">
        <f>ROUND(R28*(R12)/100,2)</f>
        <v>0</v>
      </c>
      <c r="GL28">
        <f t="shared" ref="GL28:GL40" si="41">ROUND(IF(AND(BH28=3,BI28=3,FS28&lt;&gt;0),P28,0),2)</f>
        <v>0</v>
      </c>
      <c r="GM28">
        <f t="shared" ref="GM28:GM40" si="42">O28+X28+Y28+GK28</f>
        <v>4306003.03</v>
      </c>
      <c r="GN28">
        <f t="shared" ref="GN28:GN40" si="43">ROUND(IF(OR(BI28=0,BI28=1),O28+X28+Y28+GK28,0),2)</f>
        <v>4306003.03</v>
      </c>
      <c r="GO28">
        <f t="shared" ref="GO28:GO40" si="44">ROUND(IF(BI28=2,O28+X28+Y28+GK28,0),2)</f>
        <v>0</v>
      </c>
      <c r="GP28">
        <f t="shared" ref="GP28:GP40" si="45">ROUND(IF(BI28=4,O28+X28+Y28+GK28,0),2)</f>
        <v>0</v>
      </c>
      <c r="GR28">
        <v>0</v>
      </c>
      <c r="GT28">
        <v>0</v>
      </c>
      <c r="GU28">
        <v>1</v>
      </c>
      <c r="GV28">
        <v>-11.657</v>
      </c>
      <c r="GW28">
        <v>-4.2854000000000001</v>
      </c>
    </row>
    <row r="29" spans="1:205" x14ac:dyDescent="0.2">
      <c r="A29">
        <v>18</v>
      </c>
      <c r="B29">
        <v>1</v>
      </c>
      <c r="C29">
        <v>3</v>
      </c>
      <c r="E29" t="s">
        <v>27</v>
      </c>
      <c r="F29" t="s">
        <v>28</v>
      </c>
      <c r="G29" t="s">
        <v>29</v>
      </c>
      <c r="H29" t="s">
        <v>30</v>
      </c>
      <c r="I29">
        <f>I28*J29</f>
        <v>-2.9</v>
      </c>
      <c r="J29">
        <v>-5.7999999999999996E-2</v>
      </c>
      <c r="O29">
        <f t="shared" si="15"/>
        <v>-6798.15</v>
      </c>
      <c r="P29">
        <f t="shared" si="16"/>
        <v>-6798.15</v>
      </c>
      <c r="Q29">
        <f t="shared" si="17"/>
        <v>0</v>
      </c>
      <c r="R29">
        <f t="shared" si="18"/>
        <v>0</v>
      </c>
      <c r="S29">
        <f t="shared" si="19"/>
        <v>0</v>
      </c>
      <c r="T29">
        <f t="shared" si="20"/>
        <v>0</v>
      </c>
      <c r="U29">
        <f t="shared" si="21"/>
        <v>0</v>
      </c>
      <c r="V29">
        <f t="shared" si="22"/>
        <v>0</v>
      </c>
      <c r="W29">
        <f t="shared" si="23"/>
        <v>0</v>
      </c>
      <c r="X29">
        <f t="shared" si="24"/>
        <v>0</v>
      </c>
      <c r="Y29">
        <f t="shared" si="25"/>
        <v>0</v>
      </c>
      <c r="AA29">
        <v>90163004</v>
      </c>
      <c r="AB29">
        <f t="shared" si="26"/>
        <v>454.3</v>
      </c>
      <c r="AC29">
        <f t="shared" ref="AC29:AF32" si="46">ROUND((ES29),6)</f>
        <v>454.3</v>
      </c>
      <c r="AD29">
        <f t="shared" si="46"/>
        <v>0</v>
      </c>
      <c r="AE29">
        <f t="shared" si="46"/>
        <v>0</v>
      </c>
      <c r="AF29">
        <f t="shared" si="46"/>
        <v>0</v>
      </c>
      <c r="AG29">
        <f t="shared" si="27"/>
        <v>0</v>
      </c>
      <c r="AH29">
        <f t="shared" ref="AH29:AI32" si="47">(EW29)</f>
        <v>0</v>
      </c>
      <c r="AI29">
        <f t="shared" si="47"/>
        <v>0</v>
      </c>
      <c r="AJ29">
        <f t="shared" si="28"/>
        <v>0</v>
      </c>
      <c r="AK29">
        <v>454.3</v>
      </c>
      <c r="AL29">
        <v>454.3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1</v>
      </c>
      <c r="AW29">
        <v>1</v>
      </c>
      <c r="AZ29">
        <v>1</v>
      </c>
      <c r="BA29">
        <v>1</v>
      </c>
      <c r="BB29">
        <v>1</v>
      </c>
      <c r="BC29">
        <v>5.16</v>
      </c>
      <c r="BD29" t="s">
        <v>3</v>
      </c>
      <c r="BE29" t="s">
        <v>3</v>
      </c>
      <c r="BF29" t="s">
        <v>3</v>
      </c>
      <c r="BG29" t="s">
        <v>3</v>
      </c>
      <c r="BH29">
        <v>3</v>
      </c>
      <c r="BI29">
        <v>1</v>
      </c>
      <c r="BJ29" t="s">
        <v>31</v>
      </c>
      <c r="BM29">
        <v>1114</v>
      </c>
      <c r="BN29">
        <v>0</v>
      </c>
      <c r="BO29" t="s">
        <v>28</v>
      </c>
      <c r="BP29">
        <v>1</v>
      </c>
      <c r="BQ29">
        <v>160</v>
      </c>
      <c r="BR29">
        <v>0</v>
      </c>
      <c r="BS29">
        <v>1</v>
      </c>
      <c r="BT29">
        <v>1</v>
      </c>
      <c r="BU29">
        <v>1</v>
      </c>
      <c r="BV29">
        <v>1</v>
      </c>
      <c r="BW29">
        <v>1</v>
      </c>
      <c r="BX29">
        <v>1</v>
      </c>
      <c r="BY29" t="s">
        <v>3</v>
      </c>
      <c r="BZ29">
        <v>0</v>
      </c>
      <c r="CA29">
        <v>0</v>
      </c>
      <c r="CF29">
        <v>0</v>
      </c>
      <c r="CG29">
        <v>0</v>
      </c>
      <c r="CM29">
        <v>0</v>
      </c>
      <c r="CN29" t="s">
        <v>3</v>
      </c>
      <c r="CO29">
        <v>0</v>
      </c>
      <c r="CP29">
        <f t="shared" si="29"/>
        <v>-6798.15</v>
      </c>
      <c r="CQ29">
        <f t="shared" si="30"/>
        <v>2344.1880000000001</v>
      </c>
      <c r="CR29">
        <f t="shared" si="31"/>
        <v>0</v>
      </c>
      <c r="CS29">
        <f t="shared" si="32"/>
        <v>0</v>
      </c>
      <c r="CT29">
        <f t="shared" si="33"/>
        <v>0</v>
      </c>
      <c r="CU29">
        <f t="shared" si="34"/>
        <v>0</v>
      </c>
      <c r="CV29">
        <f t="shared" si="35"/>
        <v>0</v>
      </c>
      <c r="CW29">
        <f t="shared" si="36"/>
        <v>0</v>
      </c>
      <c r="CX29">
        <f t="shared" si="37"/>
        <v>0</v>
      </c>
      <c r="CY29">
        <f t="shared" si="38"/>
        <v>0</v>
      </c>
      <c r="CZ29">
        <f t="shared" si="39"/>
        <v>0</v>
      </c>
      <c r="DC29" t="s">
        <v>3</v>
      </c>
      <c r="DD29" t="s">
        <v>3</v>
      </c>
      <c r="DE29" t="s">
        <v>3</v>
      </c>
      <c r="DF29" t="s">
        <v>3</v>
      </c>
      <c r="DG29" t="s">
        <v>3</v>
      </c>
      <c r="DH29" t="s">
        <v>3</v>
      </c>
      <c r="DI29" t="s">
        <v>3</v>
      </c>
      <c r="DJ29" t="s">
        <v>3</v>
      </c>
      <c r="DK29" t="s">
        <v>3</v>
      </c>
      <c r="DL29" t="s">
        <v>3</v>
      </c>
      <c r="DM29" t="s">
        <v>3</v>
      </c>
      <c r="DN29">
        <v>0</v>
      </c>
      <c r="DO29">
        <v>0</v>
      </c>
      <c r="DP29">
        <v>1</v>
      </c>
      <c r="DQ29">
        <v>1</v>
      </c>
      <c r="DU29">
        <v>1007</v>
      </c>
      <c r="DV29" t="s">
        <v>30</v>
      </c>
      <c r="DW29" t="s">
        <v>30</v>
      </c>
      <c r="DX29">
        <v>1</v>
      </c>
      <c r="EE29">
        <v>33196057</v>
      </c>
      <c r="EF29">
        <v>160</v>
      </c>
      <c r="EG29" t="s">
        <v>24</v>
      </c>
      <c r="EH29">
        <v>0</v>
      </c>
      <c r="EI29" t="s">
        <v>3</v>
      </c>
      <c r="EJ29">
        <v>1</v>
      </c>
      <c r="EK29">
        <v>1114</v>
      </c>
      <c r="EL29" t="s">
        <v>25</v>
      </c>
      <c r="EM29" t="s">
        <v>26</v>
      </c>
      <c r="EO29" t="s">
        <v>3</v>
      </c>
      <c r="EQ29">
        <v>256</v>
      </c>
      <c r="ER29">
        <v>454.3</v>
      </c>
      <c r="ES29">
        <v>454.3</v>
      </c>
      <c r="ET29">
        <v>0</v>
      </c>
      <c r="EU29">
        <v>0</v>
      </c>
      <c r="EV29">
        <v>0</v>
      </c>
      <c r="EW29">
        <v>0</v>
      </c>
      <c r="EX29">
        <v>0</v>
      </c>
      <c r="FQ29">
        <v>0</v>
      </c>
      <c r="FR29">
        <f t="shared" si="40"/>
        <v>0</v>
      </c>
      <c r="FS29">
        <v>0</v>
      </c>
      <c r="FX29">
        <v>0</v>
      </c>
      <c r="FY29">
        <v>0</v>
      </c>
      <c r="GA29" t="s">
        <v>3</v>
      </c>
      <c r="GD29">
        <v>0</v>
      </c>
      <c r="GF29">
        <v>425610400</v>
      </c>
      <c r="GG29">
        <v>2</v>
      </c>
      <c r="GH29">
        <v>1</v>
      </c>
      <c r="GI29">
        <v>2</v>
      </c>
      <c r="GJ29">
        <v>0</v>
      </c>
      <c r="GK29">
        <f>ROUND(R29*(R12)/100,2)</f>
        <v>0</v>
      </c>
      <c r="GL29">
        <f t="shared" si="41"/>
        <v>0</v>
      </c>
      <c r="GM29">
        <f t="shared" si="42"/>
        <v>-6798.15</v>
      </c>
      <c r="GN29">
        <f t="shared" si="43"/>
        <v>-6798.15</v>
      </c>
      <c r="GO29">
        <f t="shared" si="44"/>
        <v>0</v>
      </c>
      <c r="GP29">
        <f t="shared" si="45"/>
        <v>0</v>
      </c>
      <c r="GR29">
        <v>0</v>
      </c>
      <c r="GT29">
        <v>0</v>
      </c>
      <c r="GU29">
        <v>1</v>
      </c>
      <c r="GV29">
        <v>0</v>
      </c>
      <c r="GW29">
        <v>0</v>
      </c>
    </row>
    <row r="30" spans="1:205" x14ac:dyDescent="0.2">
      <c r="A30">
        <v>18</v>
      </c>
      <c r="B30">
        <v>1</v>
      </c>
      <c r="C30">
        <v>4</v>
      </c>
      <c r="E30" t="s">
        <v>32</v>
      </c>
      <c r="F30" t="s">
        <v>33</v>
      </c>
      <c r="G30" t="s">
        <v>34</v>
      </c>
      <c r="H30" t="s">
        <v>18</v>
      </c>
      <c r="I30">
        <f>I28*J30</f>
        <v>100</v>
      </c>
      <c r="J30">
        <v>2</v>
      </c>
      <c r="O30">
        <f t="shared" si="15"/>
        <v>86364.85</v>
      </c>
      <c r="P30">
        <f t="shared" si="16"/>
        <v>86364.85</v>
      </c>
      <c r="Q30">
        <f t="shared" si="17"/>
        <v>0</v>
      </c>
      <c r="R30">
        <f t="shared" si="18"/>
        <v>0</v>
      </c>
      <c r="S30">
        <f t="shared" si="19"/>
        <v>0</v>
      </c>
      <c r="T30">
        <f t="shared" si="20"/>
        <v>0</v>
      </c>
      <c r="U30">
        <f t="shared" si="21"/>
        <v>0</v>
      </c>
      <c r="V30">
        <f t="shared" si="22"/>
        <v>0</v>
      </c>
      <c r="W30">
        <f t="shared" si="23"/>
        <v>0</v>
      </c>
      <c r="X30">
        <f t="shared" si="24"/>
        <v>0</v>
      </c>
      <c r="Y30">
        <f t="shared" si="25"/>
        <v>0</v>
      </c>
      <c r="AA30">
        <v>90163004</v>
      </c>
      <c r="AB30">
        <f t="shared" si="26"/>
        <v>367.51</v>
      </c>
      <c r="AC30">
        <f t="shared" si="46"/>
        <v>367.51</v>
      </c>
      <c r="AD30">
        <f t="shared" si="46"/>
        <v>0</v>
      </c>
      <c r="AE30">
        <f t="shared" si="46"/>
        <v>0</v>
      </c>
      <c r="AF30">
        <f t="shared" si="46"/>
        <v>0</v>
      </c>
      <c r="AG30">
        <f t="shared" si="27"/>
        <v>0</v>
      </c>
      <c r="AH30">
        <f t="shared" si="47"/>
        <v>0</v>
      </c>
      <c r="AI30">
        <f t="shared" si="47"/>
        <v>0</v>
      </c>
      <c r="AJ30">
        <f t="shared" si="28"/>
        <v>0</v>
      </c>
      <c r="AK30">
        <v>367.51</v>
      </c>
      <c r="AL30">
        <v>367.51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1</v>
      </c>
      <c r="AW30">
        <v>1</v>
      </c>
      <c r="AZ30">
        <v>1</v>
      </c>
      <c r="BA30">
        <v>1</v>
      </c>
      <c r="BB30">
        <v>1</v>
      </c>
      <c r="BC30">
        <v>2.35</v>
      </c>
      <c r="BD30" t="s">
        <v>3</v>
      </c>
      <c r="BE30" t="s">
        <v>3</v>
      </c>
      <c r="BF30" t="s">
        <v>3</v>
      </c>
      <c r="BG30" t="s">
        <v>3</v>
      </c>
      <c r="BH30">
        <v>3</v>
      </c>
      <c r="BI30">
        <v>1</v>
      </c>
      <c r="BJ30" t="s">
        <v>35</v>
      </c>
      <c r="BM30">
        <v>1114</v>
      </c>
      <c r="BN30">
        <v>0</v>
      </c>
      <c r="BO30" t="s">
        <v>33</v>
      </c>
      <c r="BP30">
        <v>1</v>
      </c>
      <c r="BQ30">
        <v>160</v>
      </c>
      <c r="BR30">
        <v>0</v>
      </c>
      <c r="BS30">
        <v>1</v>
      </c>
      <c r="BT30">
        <v>1</v>
      </c>
      <c r="BU30">
        <v>1</v>
      </c>
      <c r="BV30">
        <v>1</v>
      </c>
      <c r="BW30">
        <v>1</v>
      </c>
      <c r="BX30">
        <v>1</v>
      </c>
      <c r="BY30" t="s">
        <v>3</v>
      </c>
      <c r="BZ30">
        <v>0</v>
      </c>
      <c r="CA30">
        <v>0</v>
      </c>
      <c r="CF30">
        <v>0</v>
      </c>
      <c r="CG30">
        <v>0</v>
      </c>
      <c r="CM30">
        <v>0</v>
      </c>
      <c r="CN30" t="s">
        <v>3</v>
      </c>
      <c r="CO30">
        <v>0</v>
      </c>
      <c r="CP30">
        <f t="shared" si="29"/>
        <v>86364.85</v>
      </c>
      <c r="CQ30">
        <f t="shared" si="30"/>
        <v>863.64850000000001</v>
      </c>
      <c r="CR30">
        <f t="shared" si="31"/>
        <v>0</v>
      </c>
      <c r="CS30">
        <f t="shared" si="32"/>
        <v>0</v>
      </c>
      <c r="CT30">
        <f t="shared" si="33"/>
        <v>0</v>
      </c>
      <c r="CU30">
        <f t="shared" si="34"/>
        <v>0</v>
      </c>
      <c r="CV30">
        <f t="shared" si="35"/>
        <v>0</v>
      </c>
      <c r="CW30">
        <f t="shared" si="36"/>
        <v>0</v>
      </c>
      <c r="CX30">
        <f t="shared" si="37"/>
        <v>0</v>
      </c>
      <c r="CY30">
        <f t="shared" si="38"/>
        <v>0</v>
      </c>
      <c r="CZ30">
        <f t="shared" si="39"/>
        <v>0</v>
      </c>
      <c r="DC30" t="s">
        <v>3</v>
      </c>
      <c r="DD30" t="s">
        <v>3</v>
      </c>
      <c r="DE30" t="s">
        <v>3</v>
      </c>
      <c r="DF30" t="s">
        <v>3</v>
      </c>
      <c r="DG30" t="s">
        <v>3</v>
      </c>
      <c r="DH30" t="s">
        <v>3</v>
      </c>
      <c r="DI30" t="s">
        <v>3</v>
      </c>
      <c r="DJ30" t="s">
        <v>3</v>
      </c>
      <c r="DK30" t="s">
        <v>3</v>
      </c>
      <c r="DL30" t="s">
        <v>3</v>
      </c>
      <c r="DM30" t="s">
        <v>3</v>
      </c>
      <c r="DN30">
        <v>0</v>
      </c>
      <c r="DO30">
        <v>0</v>
      </c>
      <c r="DP30">
        <v>1</v>
      </c>
      <c r="DQ30">
        <v>1</v>
      </c>
      <c r="DU30">
        <v>1003</v>
      </c>
      <c r="DV30" t="s">
        <v>18</v>
      </c>
      <c r="DW30" t="s">
        <v>18</v>
      </c>
      <c r="DX30">
        <v>1</v>
      </c>
      <c r="EE30">
        <v>33196057</v>
      </c>
      <c r="EF30">
        <v>160</v>
      </c>
      <c r="EG30" t="s">
        <v>24</v>
      </c>
      <c r="EH30">
        <v>0</v>
      </c>
      <c r="EI30" t="s">
        <v>3</v>
      </c>
      <c r="EJ30">
        <v>1</v>
      </c>
      <c r="EK30">
        <v>1114</v>
      </c>
      <c r="EL30" t="s">
        <v>25</v>
      </c>
      <c r="EM30" t="s">
        <v>26</v>
      </c>
      <c r="EO30" t="s">
        <v>3</v>
      </c>
      <c r="EQ30">
        <v>256</v>
      </c>
      <c r="ER30">
        <v>367.51</v>
      </c>
      <c r="ES30">
        <v>367.51</v>
      </c>
      <c r="ET30">
        <v>0</v>
      </c>
      <c r="EU30">
        <v>0</v>
      </c>
      <c r="EV30">
        <v>0</v>
      </c>
      <c r="EW30">
        <v>0</v>
      </c>
      <c r="EX30">
        <v>0</v>
      </c>
      <c r="FQ30">
        <v>0</v>
      </c>
      <c r="FR30">
        <f t="shared" si="40"/>
        <v>0</v>
      </c>
      <c r="FS30">
        <v>0</v>
      </c>
      <c r="FX30">
        <v>0</v>
      </c>
      <c r="FY30">
        <v>0</v>
      </c>
      <c r="GA30" t="s">
        <v>3</v>
      </c>
      <c r="GD30">
        <v>0</v>
      </c>
      <c r="GF30">
        <v>1501988888</v>
      </c>
      <c r="GG30">
        <v>2</v>
      </c>
      <c r="GH30">
        <v>1</v>
      </c>
      <c r="GI30">
        <v>2</v>
      </c>
      <c r="GJ30">
        <v>0</v>
      </c>
      <c r="GK30">
        <f>ROUND(R30*(R12)/100,2)</f>
        <v>0</v>
      </c>
      <c r="GL30">
        <f t="shared" si="41"/>
        <v>0</v>
      </c>
      <c r="GM30">
        <f t="shared" si="42"/>
        <v>86364.85</v>
      </c>
      <c r="GN30">
        <f t="shared" si="43"/>
        <v>86364.85</v>
      </c>
      <c r="GO30">
        <f t="shared" si="44"/>
        <v>0</v>
      </c>
      <c r="GP30">
        <f t="shared" si="45"/>
        <v>0</v>
      </c>
      <c r="GR30">
        <v>0</v>
      </c>
      <c r="GT30">
        <v>0</v>
      </c>
      <c r="GU30">
        <v>1</v>
      </c>
      <c r="GV30">
        <v>0</v>
      </c>
      <c r="GW30">
        <v>0</v>
      </c>
    </row>
    <row r="31" spans="1:205" x14ac:dyDescent="0.2">
      <c r="A31">
        <v>18</v>
      </c>
      <c r="B31">
        <v>1</v>
      </c>
      <c r="C31">
        <v>1</v>
      </c>
      <c r="E31" t="s">
        <v>36</v>
      </c>
      <c r="F31" t="s">
        <v>37</v>
      </c>
      <c r="G31" t="s">
        <v>38</v>
      </c>
      <c r="H31" t="s">
        <v>39</v>
      </c>
      <c r="I31">
        <f>I28*J31</f>
        <v>-185.12927999999999</v>
      </c>
      <c r="J31">
        <v>-3.7025855999999999</v>
      </c>
      <c r="O31">
        <f t="shared" si="15"/>
        <v>0</v>
      </c>
      <c r="P31">
        <f t="shared" si="16"/>
        <v>0</v>
      </c>
      <c r="Q31">
        <f t="shared" si="17"/>
        <v>0</v>
      </c>
      <c r="R31">
        <f t="shared" si="18"/>
        <v>0</v>
      </c>
      <c r="S31">
        <f t="shared" si="19"/>
        <v>0</v>
      </c>
      <c r="T31">
        <f t="shared" si="20"/>
        <v>0</v>
      </c>
      <c r="U31">
        <f t="shared" si="21"/>
        <v>0</v>
      </c>
      <c r="V31">
        <f t="shared" si="22"/>
        <v>0</v>
      </c>
      <c r="W31">
        <f t="shared" si="23"/>
        <v>0</v>
      </c>
      <c r="X31">
        <f t="shared" si="24"/>
        <v>0</v>
      </c>
      <c r="Y31">
        <f t="shared" si="25"/>
        <v>0</v>
      </c>
      <c r="AA31">
        <v>90163004</v>
      </c>
      <c r="AB31">
        <f t="shared" si="26"/>
        <v>0</v>
      </c>
      <c r="AC31">
        <f t="shared" si="46"/>
        <v>0</v>
      </c>
      <c r="AD31">
        <f t="shared" si="46"/>
        <v>0</v>
      </c>
      <c r="AE31">
        <f t="shared" si="46"/>
        <v>0</v>
      </c>
      <c r="AF31">
        <f t="shared" si="46"/>
        <v>0</v>
      </c>
      <c r="AG31">
        <f t="shared" si="27"/>
        <v>0</v>
      </c>
      <c r="AH31">
        <f t="shared" si="47"/>
        <v>0</v>
      </c>
      <c r="AI31">
        <f t="shared" si="47"/>
        <v>0</v>
      </c>
      <c r="AJ31">
        <f t="shared" si="28"/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1</v>
      </c>
      <c r="AW31">
        <v>1</v>
      </c>
      <c r="AZ31">
        <v>1</v>
      </c>
      <c r="BA31">
        <v>1</v>
      </c>
      <c r="BB31">
        <v>1</v>
      </c>
      <c r="BC31">
        <v>1</v>
      </c>
      <c r="BD31" t="s">
        <v>3</v>
      </c>
      <c r="BE31" t="s">
        <v>3</v>
      </c>
      <c r="BF31" t="s">
        <v>3</v>
      </c>
      <c r="BG31" t="s">
        <v>3</v>
      </c>
      <c r="BH31">
        <v>3</v>
      </c>
      <c r="BI31">
        <v>1</v>
      </c>
      <c r="BJ31" t="s">
        <v>3</v>
      </c>
      <c r="BM31">
        <v>1114</v>
      </c>
      <c r="BN31">
        <v>0</v>
      </c>
      <c r="BO31" t="s">
        <v>3</v>
      </c>
      <c r="BP31">
        <v>0</v>
      </c>
      <c r="BQ31">
        <v>160</v>
      </c>
      <c r="BR31">
        <v>1</v>
      </c>
      <c r="BS31">
        <v>1</v>
      </c>
      <c r="BT31">
        <v>1</v>
      </c>
      <c r="BU31">
        <v>1</v>
      </c>
      <c r="BV31">
        <v>1</v>
      </c>
      <c r="BW31">
        <v>1</v>
      </c>
      <c r="BX31">
        <v>1</v>
      </c>
      <c r="BY31" t="s">
        <v>3</v>
      </c>
      <c r="BZ31">
        <v>0</v>
      </c>
      <c r="CA31">
        <v>0</v>
      </c>
      <c r="CF31">
        <v>0</v>
      </c>
      <c r="CG31">
        <v>0</v>
      </c>
      <c r="CM31">
        <v>0</v>
      </c>
      <c r="CN31" t="s">
        <v>3</v>
      </c>
      <c r="CO31">
        <v>0</v>
      </c>
      <c r="CP31">
        <f t="shared" si="29"/>
        <v>0</v>
      </c>
      <c r="CQ31">
        <f t="shared" si="30"/>
        <v>0</v>
      </c>
      <c r="CR31">
        <f t="shared" si="31"/>
        <v>0</v>
      </c>
      <c r="CS31">
        <f t="shared" si="32"/>
        <v>0</v>
      </c>
      <c r="CT31">
        <f t="shared" si="33"/>
        <v>0</v>
      </c>
      <c r="CU31">
        <f t="shared" si="34"/>
        <v>0</v>
      </c>
      <c r="CV31">
        <f t="shared" si="35"/>
        <v>0</v>
      </c>
      <c r="CW31">
        <f t="shared" si="36"/>
        <v>0</v>
      </c>
      <c r="CX31">
        <f t="shared" si="37"/>
        <v>0</v>
      </c>
      <c r="CY31">
        <f t="shared" si="38"/>
        <v>0</v>
      </c>
      <c r="CZ31">
        <f t="shared" si="39"/>
        <v>0</v>
      </c>
      <c r="DC31" t="s">
        <v>3</v>
      </c>
      <c r="DD31" t="s">
        <v>3</v>
      </c>
      <c r="DE31" t="s">
        <v>3</v>
      </c>
      <c r="DF31" t="s">
        <v>3</v>
      </c>
      <c r="DG31" t="s">
        <v>3</v>
      </c>
      <c r="DH31" t="s">
        <v>3</v>
      </c>
      <c r="DI31" t="s">
        <v>3</v>
      </c>
      <c r="DJ31" t="s">
        <v>3</v>
      </c>
      <c r="DK31" t="s">
        <v>3</v>
      </c>
      <c r="DL31" t="s">
        <v>3</v>
      </c>
      <c r="DM31" t="s">
        <v>3</v>
      </c>
      <c r="DN31">
        <v>0</v>
      </c>
      <c r="DO31">
        <v>0</v>
      </c>
      <c r="DP31">
        <v>1</v>
      </c>
      <c r="DQ31">
        <v>1</v>
      </c>
      <c r="DU31">
        <v>1009</v>
      </c>
      <c r="DV31" t="s">
        <v>39</v>
      </c>
      <c r="DW31" t="s">
        <v>39</v>
      </c>
      <c r="DX31">
        <v>1000</v>
      </c>
      <c r="EE31">
        <v>33196057</v>
      </c>
      <c r="EF31">
        <v>160</v>
      </c>
      <c r="EG31" t="s">
        <v>24</v>
      </c>
      <c r="EH31">
        <v>0</v>
      </c>
      <c r="EI31" t="s">
        <v>3</v>
      </c>
      <c r="EJ31">
        <v>1</v>
      </c>
      <c r="EK31">
        <v>1114</v>
      </c>
      <c r="EL31" t="s">
        <v>25</v>
      </c>
      <c r="EM31" t="s">
        <v>26</v>
      </c>
      <c r="EO31" t="s">
        <v>3</v>
      </c>
      <c r="EQ31">
        <v>256</v>
      </c>
      <c r="ER31">
        <v>0</v>
      </c>
      <c r="ES31">
        <v>0</v>
      </c>
      <c r="ET31">
        <v>0</v>
      </c>
      <c r="EU31">
        <v>0</v>
      </c>
      <c r="EV31">
        <v>0</v>
      </c>
      <c r="EW31">
        <v>0</v>
      </c>
      <c r="EX31">
        <v>0</v>
      </c>
      <c r="FQ31">
        <v>0</v>
      </c>
      <c r="FR31">
        <f t="shared" si="40"/>
        <v>0</v>
      </c>
      <c r="FS31">
        <v>0</v>
      </c>
      <c r="FX31">
        <v>0</v>
      </c>
      <c r="FY31">
        <v>0</v>
      </c>
      <c r="GA31" t="s">
        <v>3</v>
      </c>
      <c r="GD31">
        <v>0</v>
      </c>
      <c r="GF31">
        <v>-1541367988</v>
      </c>
      <c r="GG31">
        <v>2</v>
      </c>
      <c r="GH31">
        <v>0</v>
      </c>
      <c r="GI31">
        <v>-2</v>
      </c>
      <c r="GJ31">
        <v>0</v>
      </c>
      <c r="GK31">
        <f>ROUND(R31*(R12)/100,2)</f>
        <v>0</v>
      </c>
      <c r="GL31">
        <f t="shared" si="41"/>
        <v>0</v>
      </c>
      <c r="GM31">
        <f t="shared" si="42"/>
        <v>0</v>
      </c>
      <c r="GN31">
        <f t="shared" si="43"/>
        <v>0</v>
      </c>
      <c r="GO31">
        <f t="shared" si="44"/>
        <v>0</v>
      </c>
      <c r="GP31">
        <f t="shared" si="45"/>
        <v>0</v>
      </c>
      <c r="GR31">
        <v>0</v>
      </c>
      <c r="GT31">
        <v>0</v>
      </c>
      <c r="GU31">
        <v>1</v>
      </c>
      <c r="GV31">
        <v>0</v>
      </c>
      <c r="GW31">
        <v>0</v>
      </c>
    </row>
    <row r="32" spans="1:205" x14ac:dyDescent="0.2">
      <c r="A32">
        <v>18</v>
      </c>
      <c r="B32">
        <v>1</v>
      </c>
      <c r="C32">
        <v>2</v>
      </c>
      <c r="E32" t="s">
        <v>40</v>
      </c>
      <c r="F32" t="s">
        <v>37</v>
      </c>
      <c r="G32" t="s">
        <v>41</v>
      </c>
      <c r="H32" t="s">
        <v>30</v>
      </c>
      <c r="I32">
        <f>I28*J32</f>
        <v>-503.58240000000001</v>
      </c>
      <c r="J32">
        <v>-10.071648</v>
      </c>
      <c r="O32">
        <f t="shared" si="15"/>
        <v>0</v>
      </c>
      <c r="P32">
        <f t="shared" si="16"/>
        <v>0</v>
      </c>
      <c r="Q32">
        <f t="shared" si="17"/>
        <v>0</v>
      </c>
      <c r="R32">
        <f t="shared" si="18"/>
        <v>0</v>
      </c>
      <c r="S32">
        <f t="shared" si="19"/>
        <v>0</v>
      </c>
      <c r="T32">
        <f t="shared" si="20"/>
        <v>0</v>
      </c>
      <c r="U32">
        <f t="shared" si="21"/>
        <v>0</v>
      </c>
      <c r="V32">
        <f t="shared" si="22"/>
        <v>0</v>
      </c>
      <c r="W32">
        <f t="shared" si="23"/>
        <v>0</v>
      </c>
      <c r="X32">
        <f t="shared" si="24"/>
        <v>0</v>
      </c>
      <c r="Y32">
        <f t="shared" si="25"/>
        <v>0</v>
      </c>
      <c r="AA32">
        <v>90163004</v>
      </c>
      <c r="AB32">
        <f t="shared" si="26"/>
        <v>0</v>
      </c>
      <c r="AC32">
        <f t="shared" si="46"/>
        <v>0</v>
      </c>
      <c r="AD32">
        <f t="shared" si="46"/>
        <v>0</v>
      </c>
      <c r="AE32">
        <f t="shared" si="46"/>
        <v>0</v>
      </c>
      <c r="AF32">
        <f t="shared" si="46"/>
        <v>0</v>
      </c>
      <c r="AG32">
        <f t="shared" si="27"/>
        <v>0</v>
      </c>
      <c r="AH32">
        <f t="shared" si="47"/>
        <v>0</v>
      </c>
      <c r="AI32">
        <f t="shared" si="47"/>
        <v>0</v>
      </c>
      <c r="AJ32">
        <f t="shared" si="28"/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1</v>
      </c>
      <c r="AW32">
        <v>1</v>
      </c>
      <c r="AZ32">
        <v>1</v>
      </c>
      <c r="BA32">
        <v>1</v>
      </c>
      <c r="BB32">
        <v>1</v>
      </c>
      <c r="BC32">
        <v>1</v>
      </c>
      <c r="BD32" t="s">
        <v>3</v>
      </c>
      <c r="BE32" t="s">
        <v>3</v>
      </c>
      <c r="BF32" t="s">
        <v>3</v>
      </c>
      <c r="BG32" t="s">
        <v>3</v>
      </c>
      <c r="BH32">
        <v>3</v>
      </c>
      <c r="BI32">
        <v>1</v>
      </c>
      <c r="BJ32" t="s">
        <v>3</v>
      </c>
      <c r="BM32">
        <v>1114</v>
      </c>
      <c r="BN32">
        <v>0</v>
      </c>
      <c r="BO32" t="s">
        <v>3</v>
      </c>
      <c r="BP32">
        <v>0</v>
      </c>
      <c r="BQ32">
        <v>160</v>
      </c>
      <c r="BR32">
        <v>1</v>
      </c>
      <c r="BS32">
        <v>1</v>
      </c>
      <c r="BT32">
        <v>1</v>
      </c>
      <c r="BU32">
        <v>1</v>
      </c>
      <c r="BV32">
        <v>1</v>
      </c>
      <c r="BW32">
        <v>1</v>
      </c>
      <c r="BX32">
        <v>1</v>
      </c>
      <c r="BY32" t="s">
        <v>3</v>
      </c>
      <c r="BZ32">
        <v>0</v>
      </c>
      <c r="CA32">
        <v>0</v>
      </c>
      <c r="CF32">
        <v>0</v>
      </c>
      <c r="CG32">
        <v>0</v>
      </c>
      <c r="CM32">
        <v>0</v>
      </c>
      <c r="CN32" t="s">
        <v>3</v>
      </c>
      <c r="CO32">
        <v>0</v>
      </c>
      <c r="CP32">
        <f t="shared" si="29"/>
        <v>0</v>
      </c>
      <c r="CQ32">
        <f t="shared" si="30"/>
        <v>0</v>
      </c>
      <c r="CR32">
        <f t="shared" si="31"/>
        <v>0</v>
      </c>
      <c r="CS32">
        <f t="shared" si="32"/>
        <v>0</v>
      </c>
      <c r="CT32">
        <f t="shared" si="33"/>
        <v>0</v>
      </c>
      <c r="CU32">
        <f t="shared" si="34"/>
        <v>0</v>
      </c>
      <c r="CV32">
        <f t="shared" si="35"/>
        <v>0</v>
      </c>
      <c r="CW32">
        <f t="shared" si="36"/>
        <v>0</v>
      </c>
      <c r="CX32">
        <f t="shared" si="37"/>
        <v>0</v>
      </c>
      <c r="CY32">
        <f t="shared" si="38"/>
        <v>0</v>
      </c>
      <c r="CZ32">
        <f t="shared" si="39"/>
        <v>0</v>
      </c>
      <c r="DC32" t="s">
        <v>3</v>
      </c>
      <c r="DD32" t="s">
        <v>3</v>
      </c>
      <c r="DE32" t="s">
        <v>3</v>
      </c>
      <c r="DF32" t="s">
        <v>3</v>
      </c>
      <c r="DG32" t="s">
        <v>3</v>
      </c>
      <c r="DH32" t="s">
        <v>3</v>
      </c>
      <c r="DI32" t="s">
        <v>3</v>
      </c>
      <c r="DJ32" t="s">
        <v>3</v>
      </c>
      <c r="DK32" t="s">
        <v>3</v>
      </c>
      <c r="DL32" t="s">
        <v>3</v>
      </c>
      <c r="DM32" t="s">
        <v>3</v>
      </c>
      <c r="DN32">
        <v>0</v>
      </c>
      <c r="DO32">
        <v>0</v>
      </c>
      <c r="DP32">
        <v>1</v>
      </c>
      <c r="DQ32">
        <v>1</v>
      </c>
      <c r="DU32">
        <v>1007</v>
      </c>
      <c r="DV32" t="s">
        <v>30</v>
      </c>
      <c r="DW32" t="s">
        <v>30</v>
      </c>
      <c r="DX32">
        <v>1</v>
      </c>
      <c r="EE32">
        <v>33196057</v>
      </c>
      <c r="EF32">
        <v>160</v>
      </c>
      <c r="EG32" t="s">
        <v>24</v>
      </c>
      <c r="EH32">
        <v>0</v>
      </c>
      <c r="EI32" t="s">
        <v>3</v>
      </c>
      <c r="EJ32">
        <v>1</v>
      </c>
      <c r="EK32">
        <v>1114</v>
      </c>
      <c r="EL32" t="s">
        <v>25</v>
      </c>
      <c r="EM32" t="s">
        <v>26</v>
      </c>
      <c r="EO32" t="s">
        <v>3</v>
      </c>
      <c r="EQ32">
        <v>256</v>
      </c>
      <c r="ER32">
        <v>0</v>
      </c>
      <c r="ES32">
        <v>0</v>
      </c>
      <c r="ET32">
        <v>0</v>
      </c>
      <c r="EU32">
        <v>0</v>
      </c>
      <c r="EV32">
        <v>0</v>
      </c>
      <c r="EW32">
        <v>0</v>
      </c>
      <c r="EX32">
        <v>0</v>
      </c>
      <c r="FQ32">
        <v>0</v>
      </c>
      <c r="FR32">
        <f t="shared" si="40"/>
        <v>0</v>
      </c>
      <c r="FS32">
        <v>0</v>
      </c>
      <c r="FX32">
        <v>0</v>
      </c>
      <c r="FY32">
        <v>0</v>
      </c>
      <c r="GA32" t="s">
        <v>3</v>
      </c>
      <c r="GD32">
        <v>0</v>
      </c>
      <c r="GF32">
        <v>-589967668</v>
      </c>
      <c r="GG32">
        <v>2</v>
      </c>
      <c r="GH32">
        <v>0</v>
      </c>
      <c r="GI32">
        <v>-2</v>
      </c>
      <c r="GJ32">
        <v>0</v>
      </c>
      <c r="GK32">
        <f>ROUND(R32*(R12)/100,2)</f>
        <v>0</v>
      </c>
      <c r="GL32">
        <f t="shared" si="41"/>
        <v>0</v>
      </c>
      <c r="GM32">
        <f t="shared" si="42"/>
        <v>0</v>
      </c>
      <c r="GN32">
        <f t="shared" si="43"/>
        <v>0</v>
      </c>
      <c r="GO32">
        <f t="shared" si="44"/>
        <v>0</v>
      </c>
      <c r="GP32">
        <f t="shared" si="45"/>
        <v>0</v>
      </c>
      <c r="GR32">
        <v>0</v>
      </c>
      <c r="GT32">
        <v>0</v>
      </c>
      <c r="GU32">
        <v>1</v>
      </c>
      <c r="GV32">
        <v>0</v>
      </c>
      <c r="GW32">
        <v>0</v>
      </c>
    </row>
    <row r="33" spans="1:205" x14ac:dyDescent="0.2">
      <c r="A33">
        <v>17</v>
      </c>
      <c r="B33">
        <v>1</v>
      </c>
      <c r="C33">
        <f>ROW(SmtRes!A7)</f>
        <v>7</v>
      </c>
      <c r="D33">
        <f>ROW(EtalonRes!A5)</f>
        <v>5</v>
      </c>
      <c r="E33" t="s">
        <v>42</v>
      </c>
      <c r="F33" t="s">
        <v>43</v>
      </c>
      <c r="G33" t="s">
        <v>44</v>
      </c>
      <c r="H33" t="s">
        <v>45</v>
      </c>
      <c r="I33">
        <v>14</v>
      </c>
      <c r="J33">
        <v>0</v>
      </c>
      <c r="O33">
        <f t="shared" si="15"/>
        <v>23335.919999999998</v>
      </c>
      <c r="P33">
        <f t="shared" si="16"/>
        <v>2151.96</v>
      </c>
      <c r="Q33">
        <f t="shared" si="17"/>
        <v>7017.79</v>
      </c>
      <c r="R33">
        <f t="shared" si="18"/>
        <v>3590.28</v>
      </c>
      <c r="S33">
        <f t="shared" si="19"/>
        <v>14166.17</v>
      </c>
      <c r="T33">
        <f t="shared" si="20"/>
        <v>0</v>
      </c>
      <c r="U33">
        <f t="shared" si="21"/>
        <v>47.928573</v>
      </c>
      <c r="V33">
        <f t="shared" si="22"/>
        <v>0</v>
      </c>
      <c r="W33">
        <f t="shared" si="23"/>
        <v>0</v>
      </c>
      <c r="X33">
        <f t="shared" si="24"/>
        <v>15866.11</v>
      </c>
      <c r="Y33">
        <f t="shared" si="25"/>
        <v>8074.72</v>
      </c>
      <c r="AA33">
        <v>90163004</v>
      </c>
      <c r="AB33">
        <f t="shared" si="26"/>
        <v>138.62549999999999</v>
      </c>
      <c r="AC33">
        <f t="shared" ref="AC33:AC40" si="48">ROUND((ES33),6)</f>
        <v>32.4</v>
      </c>
      <c r="AD33">
        <f t="shared" ref="AD33:AF34" si="49">ROUND(((ET33*1.15)),6)</f>
        <v>51.911000000000001</v>
      </c>
      <c r="AE33">
        <f t="shared" si="49"/>
        <v>13.765499999999999</v>
      </c>
      <c r="AF33">
        <f t="shared" si="49"/>
        <v>54.314500000000002</v>
      </c>
      <c r="AG33">
        <f t="shared" si="27"/>
        <v>0</v>
      </c>
      <c r="AH33">
        <f>((EW33*1.15))</f>
        <v>3.2084999999999999</v>
      </c>
      <c r="AI33">
        <f>((EX33*1.15))</f>
        <v>0</v>
      </c>
      <c r="AJ33">
        <f t="shared" si="28"/>
        <v>0</v>
      </c>
      <c r="AK33">
        <v>124.77</v>
      </c>
      <c r="AL33">
        <v>32.4</v>
      </c>
      <c r="AM33">
        <v>45.14</v>
      </c>
      <c r="AN33">
        <v>11.97</v>
      </c>
      <c r="AO33">
        <v>47.23</v>
      </c>
      <c r="AP33">
        <v>0</v>
      </c>
      <c r="AQ33">
        <v>2.79</v>
      </c>
      <c r="AR33">
        <v>0</v>
      </c>
      <c r="AS33">
        <v>0</v>
      </c>
      <c r="AT33">
        <v>112</v>
      </c>
      <c r="AU33">
        <v>57</v>
      </c>
      <c r="AV33">
        <v>1.0669999999999999</v>
      </c>
      <c r="AW33">
        <v>1.0029999999999999</v>
      </c>
      <c r="AZ33">
        <v>1</v>
      </c>
      <c r="BA33">
        <v>17.46</v>
      </c>
      <c r="BB33">
        <v>9.0500000000000007</v>
      </c>
      <c r="BC33">
        <v>4.7300000000000004</v>
      </c>
      <c r="BD33" t="s">
        <v>3</v>
      </c>
      <c r="BE33" t="s">
        <v>3</v>
      </c>
      <c r="BF33" t="s">
        <v>3</v>
      </c>
      <c r="BG33" t="s">
        <v>3</v>
      </c>
      <c r="BH33">
        <v>0</v>
      </c>
      <c r="BI33">
        <v>1</v>
      </c>
      <c r="BJ33" t="s">
        <v>46</v>
      </c>
      <c r="BM33">
        <v>142</v>
      </c>
      <c r="BN33">
        <v>0</v>
      </c>
      <c r="BO33" t="s">
        <v>43</v>
      </c>
      <c r="BP33">
        <v>1</v>
      </c>
      <c r="BQ33">
        <v>30</v>
      </c>
      <c r="BR33">
        <v>0</v>
      </c>
      <c r="BS33">
        <v>17.46</v>
      </c>
      <c r="BT33">
        <v>1</v>
      </c>
      <c r="BU33">
        <v>1</v>
      </c>
      <c r="BV33">
        <v>1</v>
      </c>
      <c r="BW33">
        <v>1</v>
      </c>
      <c r="BX33">
        <v>1</v>
      </c>
      <c r="BY33" t="s">
        <v>3</v>
      </c>
      <c r="BZ33">
        <v>112</v>
      </c>
      <c r="CA33">
        <v>57</v>
      </c>
      <c r="CF33">
        <v>0</v>
      </c>
      <c r="CG33">
        <v>0</v>
      </c>
      <c r="CM33">
        <v>0</v>
      </c>
      <c r="CN33" t="s">
        <v>3</v>
      </c>
      <c r="CO33">
        <v>0</v>
      </c>
      <c r="CP33">
        <f t="shared" si="29"/>
        <v>23335.919999999998</v>
      </c>
      <c r="CQ33">
        <f t="shared" si="30"/>
        <v>153.71175599999998</v>
      </c>
      <c r="CR33">
        <f t="shared" si="31"/>
        <v>501.27078485000004</v>
      </c>
      <c r="CS33">
        <f t="shared" si="32"/>
        <v>256.44878720999998</v>
      </c>
      <c r="CT33">
        <f t="shared" si="33"/>
        <v>1011.86935839</v>
      </c>
      <c r="CU33">
        <f t="shared" si="34"/>
        <v>0</v>
      </c>
      <c r="CV33">
        <f t="shared" si="35"/>
        <v>3.4234694999999999</v>
      </c>
      <c r="CW33">
        <f t="shared" si="36"/>
        <v>0</v>
      </c>
      <c r="CX33">
        <f t="shared" si="37"/>
        <v>0</v>
      </c>
      <c r="CY33">
        <f t="shared" si="38"/>
        <v>15866.110400000001</v>
      </c>
      <c r="CZ33">
        <f t="shared" si="39"/>
        <v>8074.7168999999994</v>
      </c>
      <c r="DC33" t="s">
        <v>3</v>
      </c>
      <c r="DD33" t="s">
        <v>3</v>
      </c>
      <c r="DE33" t="s">
        <v>47</v>
      </c>
      <c r="DF33" t="s">
        <v>47</v>
      </c>
      <c r="DG33" t="s">
        <v>47</v>
      </c>
      <c r="DH33" t="s">
        <v>3</v>
      </c>
      <c r="DI33" t="s">
        <v>47</v>
      </c>
      <c r="DJ33" t="s">
        <v>47</v>
      </c>
      <c r="DK33" t="s">
        <v>3</v>
      </c>
      <c r="DL33" t="s">
        <v>3</v>
      </c>
      <c r="DM33" t="s">
        <v>3</v>
      </c>
      <c r="DN33">
        <v>133</v>
      </c>
      <c r="DO33">
        <v>113</v>
      </c>
      <c r="DP33">
        <v>1.0669999999999999</v>
      </c>
      <c r="DQ33">
        <v>1.0029999999999999</v>
      </c>
      <c r="DU33">
        <v>1013</v>
      </c>
      <c r="DV33" t="s">
        <v>45</v>
      </c>
      <c r="DW33" t="s">
        <v>45</v>
      </c>
      <c r="DX33">
        <v>1</v>
      </c>
      <c r="EE33">
        <v>33194062</v>
      </c>
      <c r="EF33">
        <v>30</v>
      </c>
      <c r="EG33" t="s">
        <v>48</v>
      </c>
      <c r="EH33">
        <v>0</v>
      </c>
      <c r="EI33" t="s">
        <v>3</v>
      </c>
      <c r="EJ33">
        <v>1</v>
      </c>
      <c r="EK33">
        <v>142</v>
      </c>
      <c r="EL33" t="s">
        <v>49</v>
      </c>
      <c r="EM33" t="s">
        <v>50</v>
      </c>
      <c r="EO33" t="s">
        <v>3</v>
      </c>
      <c r="EQ33">
        <v>256</v>
      </c>
      <c r="ER33">
        <v>124.77</v>
      </c>
      <c r="ES33">
        <v>32.4</v>
      </c>
      <c r="ET33">
        <v>45.14</v>
      </c>
      <c r="EU33">
        <v>11.97</v>
      </c>
      <c r="EV33">
        <v>47.23</v>
      </c>
      <c r="EW33">
        <v>2.79</v>
      </c>
      <c r="EX33">
        <v>0</v>
      </c>
      <c r="EY33">
        <v>0</v>
      </c>
      <c r="FQ33">
        <v>0</v>
      </c>
      <c r="FR33">
        <f t="shared" si="40"/>
        <v>0</v>
      </c>
      <c r="FS33">
        <v>0</v>
      </c>
      <c r="FX33">
        <v>133</v>
      </c>
      <c r="FY33">
        <v>113</v>
      </c>
      <c r="GA33" t="s">
        <v>3</v>
      </c>
      <c r="GD33">
        <v>0</v>
      </c>
      <c r="GF33">
        <v>594661113</v>
      </c>
      <c r="GG33">
        <v>2</v>
      </c>
      <c r="GH33">
        <v>1</v>
      </c>
      <c r="GI33">
        <v>2</v>
      </c>
      <c r="GJ33">
        <v>0</v>
      </c>
      <c r="GK33">
        <f>ROUND(R33*(R12)/100,2)</f>
        <v>5995.77</v>
      </c>
      <c r="GL33">
        <f t="shared" si="41"/>
        <v>0</v>
      </c>
      <c r="GM33">
        <f t="shared" si="42"/>
        <v>53272.520000000004</v>
      </c>
      <c r="GN33">
        <f t="shared" si="43"/>
        <v>53272.52</v>
      </c>
      <c r="GO33">
        <f t="shared" si="44"/>
        <v>0</v>
      </c>
      <c r="GP33">
        <f t="shared" si="45"/>
        <v>0</v>
      </c>
      <c r="GR33">
        <v>0</v>
      </c>
      <c r="GT33">
        <v>0</v>
      </c>
      <c r="GU33">
        <v>1</v>
      </c>
      <c r="GV33">
        <v>0</v>
      </c>
      <c r="GW33">
        <v>0</v>
      </c>
    </row>
    <row r="34" spans="1:205" x14ac:dyDescent="0.2">
      <c r="A34">
        <v>17</v>
      </c>
      <c r="B34">
        <v>1</v>
      </c>
      <c r="C34">
        <f>ROW(SmtRes!A17)</f>
        <v>17</v>
      </c>
      <c r="D34">
        <f>ROW(EtalonRes!A15)</f>
        <v>15</v>
      </c>
      <c r="E34" t="s">
        <v>51</v>
      </c>
      <c r="F34" t="s">
        <v>52</v>
      </c>
      <c r="G34" t="s">
        <v>53</v>
      </c>
      <c r="H34" t="s">
        <v>45</v>
      </c>
      <c r="I34">
        <v>14</v>
      </c>
      <c r="J34">
        <v>0</v>
      </c>
      <c r="O34">
        <f t="shared" si="15"/>
        <v>78638.23</v>
      </c>
      <c r="P34">
        <f t="shared" si="16"/>
        <v>668.42</v>
      </c>
      <c r="Q34">
        <f t="shared" si="17"/>
        <v>9661.4500000000007</v>
      </c>
      <c r="R34">
        <f t="shared" si="18"/>
        <v>3299.34</v>
      </c>
      <c r="S34">
        <f t="shared" si="19"/>
        <v>68308.36</v>
      </c>
      <c r="T34">
        <f t="shared" si="20"/>
        <v>0</v>
      </c>
      <c r="U34">
        <f t="shared" si="21"/>
        <v>278.29494</v>
      </c>
      <c r="V34">
        <f t="shared" si="22"/>
        <v>0</v>
      </c>
      <c r="W34">
        <f t="shared" si="23"/>
        <v>0</v>
      </c>
      <c r="X34">
        <f t="shared" si="24"/>
        <v>76505.36</v>
      </c>
      <c r="Y34">
        <f t="shared" si="25"/>
        <v>38935.769999999997</v>
      </c>
      <c r="AA34">
        <v>90163004</v>
      </c>
      <c r="AB34">
        <f t="shared" si="26"/>
        <v>367.84949999999998</v>
      </c>
      <c r="AC34">
        <f t="shared" si="48"/>
        <v>20.170000000000002</v>
      </c>
      <c r="AD34">
        <f t="shared" si="49"/>
        <v>85.778499999999994</v>
      </c>
      <c r="AE34">
        <f t="shared" si="49"/>
        <v>12.65</v>
      </c>
      <c r="AF34">
        <f t="shared" si="49"/>
        <v>261.90100000000001</v>
      </c>
      <c r="AG34">
        <f t="shared" si="27"/>
        <v>0</v>
      </c>
      <c r="AH34">
        <f>((EW34*1.15))</f>
        <v>18.63</v>
      </c>
      <c r="AI34">
        <f>((EX34*1.15))</f>
        <v>0</v>
      </c>
      <c r="AJ34">
        <f t="shared" si="28"/>
        <v>0</v>
      </c>
      <c r="AK34">
        <v>322.5</v>
      </c>
      <c r="AL34">
        <v>20.170000000000002</v>
      </c>
      <c r="AM34">
        <v>74.59</v>
      </c>
      <c r="AN34">
        <v>11</v>
      </c>
      <c r="AO34">
        <v>227.74</v>
      </c>
      <c r="AP34">
        <v>0</v>
      </c>
      <c r="AQ34">
        <v>16.2</v>
      </c>
      <c r="AR34">
        <v>0</v>
      </c>
      <c r="AS34">
        <v>0</v>
      </c>
      <c r="AT34">
        <v>112</v>
      </c>
      <c r="AU34">
        <v>57</v>
      </c>
      <c r="AV34">
        <v>1.0669999999999999</v>
      </c>
      <c r="AW34">
        <v>1.0029999999999999</v>
      </c>
      <c r="AZ34">
        <v>1</v>
      </c>
      <c r="BA34">
        <v>17.46</v>
      </c>
      <c r="BB34">
        <v>7.54</v>
      </c>
      <c r="BC34">
        <v>2.36</v>
      </c>
      <c r="BD34" t="s">
        <v>3</v>
      </c>
      <c r="BE34" t="s">
        <v>3</v>
      </c>
      <c r="BF34" t="s">
        <v>3</v>
      </c>
      <c r="BG34" t="s">
        <v>3</v>
      </c>
      <c r="BH34">
        <v>0</v>
      </c>
      <c r="BI34">
        <v>1</v>
      </c>
      <c r="BJ34" t="s">
        <v>54</v>
      </c>
      <c r="BM34">
        <v>142</v>
      </c>
      <c r="BN34">
        <v>0</v>
      </c>
      <c r="BO34" t="s">
        <v>52</v>
      </c>
      <c r="BP34">
        <v>1</v>
      </c>
      <c r="BQ34">
        <v>30</v>
      </c>
      <c r="BR34">
        <v>0</v>
      </c>
      <c r="BS34">
        <v>17.46</v>
      </c>
      <c r="BT34">
        <v>1</v>
      </c>
      <c r="BU34">
        <v>1</v>
      </c>
      <c r="BV34">
        <v>1</v>
      </c>
      <c r="BW34">
        <v>1</v>
      </c>
      <c r="BX34">
        <v>1</v>
      </c>
      <c r="BY34" t="s">
        <v>3</v>
      </c>
      <c r="BZ34">
        <v>112</v>
      </c>
      <c r="CA34">
        <v>57</v>
      </c>
      <c r="CF34">
        <v>0</v>
      </c>
      <c r="CG34">
        <v>0</v>
      </c>
      <c r="CM34">
        <v>0</v>
      </c>
      <c r="CN34" t="s">
        <v>3</v>
      </c>
      <c r="CO34">
        <v>0</v>
      </c>
      <c r="CP34">
        <f t="shared" si="29"/>
        <v>78638.23</v>
      </c>
      <c r="CQ34">
        <f t="shared" si="30"/>
        <v>47.744003599999992</v>
      </c>
      <c r="CR34">
        <f t="shared" si="31"/>
        <v>690.10347262999983</v>
      </c>
      <c r="CS34">
        <f t="shared" si="32"/>
        <v>235.66722300000001</v>
      </c>
      <c r="CT34">
        <f t="shared" si="33"/>
        <v>4879.1684878200003</v>
      </c>
      <c r="CU34">
        <f t="shared" si="34"/>
        <v>0</v>
      </c>
      <c r="CV34">
        <f t="shared" si="35"/>
        <v>19.878209999999999</v>
      </c>
      <c r="CW34">
        <f t="shared" si="36"/>
        <v>0</v>
      </c>
      <c r="CX34">
        <f t="shared" si="37"/>
        <v>0</v>
      </c>
      <c r="CY34">
        <f t="shared" si="38"/>
        <v>76505.363200000007</v>
      </c>
      <c r="CZ34">
        <f t="shared" si="39"/>
        <v>38935.765199999994</v>
      </c>
      <c r="DC34" t="s">
        <v>3</v>
      </c>
      <c r="DD34" t="s">
        <v>3</v>
      </c>
      <c r="DE34" t="s">
        <v>47</v>
      </c>
      <c r="DF34" t="s">
        <v>47</v>
      </c>
      <c r="DG34" t="s">
        <v>47</v>
      </c>
      <c r="DH34" t="s">
        <v>3</v>
      </c>
      <c r="DI34" t="s">
        <v>47</v>
      </c>
      <c r="DJ34" t="s">
        <v>47</v>
      </c>
      <c r="DK34" t="s">
        <v>3</v>
      </c>
      <c r="DL34" t="s">
        <v>3</v>
      </c>
      <c r="DM34" t="s">
        <v>3</v>
      </c>
      <c r="DN34">
        <v>133</v>
      </c>
      <c r="DO34">
        <v>113</v>
      </c>
      <c r="DP34">
        <v>1.0669999999999999</v>
      </c>
      <c r="DQ34">
        <v>1.0029999999999999</v>
      </c>
      <c r="DU34">
        <v>1013</v>
      </c>
      <c r="DV34" t="s">
        <v>45</v>
      </c>
      <c r="DW34" t="s">
        <v>45</v>
      </c>
      <c r="DX34">
        <v>1</v>
      </c>
      <c r="EE34">
        <v>33194062</v>
      </c>
      <c r="EF34">
        <v>30</v>
      </c>
      <c r="EG34" t="s">
        <v>48</v>
      </c>
      <c r="EH34">
        <v>0</v>
      </c>
      <c r="EI34" t="s">
        <v>3</v>
      </c>
      <c r="EJ34">
        <v>1</v>
      </c>
      <c r="EK34">
        <v>142</v>
      </c>
      <c r="EL34" t="s">
        <v>49</v>
      </c>
      <c r="EM34" t="s">
        <v>50</v>
      </c>
      <c r="EO34" t="s">
        <v>3</v>
      </c>
      <c r="EQ34">
        <v>256</v>
      </c>
      <c r="ER34">
        <v>322.5</v>
      </c>
      <c r="ES34">
        <v>20.170000000000002</v>
      </c>
      <c r="ET34">
        <v>74.59</v>
      </c>
      <c r="EU34">
        <v>11</v>
      </c>
      <c r="EV34">
        <v>227.74</v>
      </c>
      <c r="EW34">
        <v>16.2</v>
      </c>
      <c r="EX34">
        <v>0</v>
      </c>
      <c r="EY34">
        <v>0</v>
      </c>
      <c r="FQ34">
        <v>0</v>
      </c>
      <c r="FR34">
        <f t="shared" si="40"/>
        <v>0</v>
      </c>
      <c r="FS34">
        <v>0</v>
      </c>
      <c r="FX34">
        <v>133</v>
      </c>
      <c r="FY34">
        <v>113</v>
      </c>
      <c r="GA34" t="s">
        <v>3</v>
      </c>
      <c r="GD34">
        <v>0</v>
      </c>
      <c r="GF34">
        <v>-264471586</v>
      </c>
      <c r="GG34">
        <v>2</v>
      </c>
      <c r="GH34">
        <v>1</v>
      </c>
      <c r="GI34">
        <v>2</v>
      </c>
      <c r="GJ34">
        <v>0</v>
      </c>
      <c r="GK34">
        <f>ROUND(R34*(R12)/100,2)</f>
        <v>5509.9</v>
      </c>
      <c r="GL34">
        <f t="shared" si="41"/>
        <v>0</v>
      </c>
      <c r="GM34">
        <f t="shared" si="42"/>
        <v>199589.25999999998</v>
      </c>
      <c r="GN34">
        <f t="shared" si="43"/>
        <v>199589.26</v>
      </c>
      <c r="GO34">
        <f t="shared" si="44"/>
        <v>0</v>
      </c>
      <c r="GP34">
        <f t="shared" si="45"/>
        <v>0</v>
      </c>
      <c r="GR34">
        <v>0</v>
      </c>
      <c r="GT34">
        <v>0</v>
      </c>
      <c r="GU34">
        <v>1</v>
      </c>
      <c r="GV34">
        <v>0</v>
      </c>
      <c r="GW34">
        <v>0</v>
      </c>
    </row>
    <row r="35" spans="1:205" x14ac:dyDescent="0.2">
      <c r="A35">
        <v>18</v>
      </c>
      <c r="B35">
        <v>1</v>
      </c>
      <c r="C35">
        <v>17</v>
      </c>
      <c r="E35" t="s">
        <v>55</v>
      </c>
      <c r="F35" t="s">
        <v>56</v>
      </c>
      <c r="G35" t="s">
        <v>57</v>
      </c>
      <c r="H35" t="s">
        <v>58</v>
      </c>
      <c r="I35">
        <f>I34*J35</f>
        <v>14</v>
      </c>
      <c r="J35">
        <v>1</v>
      </c>
      <c r="O35">
        <f t="shared" si="15"/>
        <v>55838.21</v>
      </c>
      <c r="P35">
        <f t="shared" si="16"/>
        <v>55838.21</v>
      </c>
      <c r="Q35">
        <f t="shared" si="17"/>
        <v>0</v>
      </c>
      <c r="R35">
        <f t="shared" si="18"/>
        <v>0</v>
      </c>
      <c r="S35">
        <f t="shared" si="19"/>
        <v>0</v>
      </c>
      <c r="T35">
        <f t="shared" si="20"/>
        <v>0</v>
      </c>
      <c r="U35">
        <f t="shared" si="21"/>
        <v>0</v>
      </c>
      <c r="V35">
        <f t="shared" si="22"/>
        <v>0</v>
      </c>
      <c r="W35">
        <f t="shared" si="23"/>
        <v>0</v>
      </c>
      <c r="X35">
        <f t="shared" si="24"/>
        <v>0</v>
      </c>
      <c r="Y35">
        <f t="shared" si="25"/>
        <v>0</v>
      </c>
      <c r="AA35">
        <v>90163004</v>
      </c>
      <c r="AB35">
        <f t="shared" si="26"/>
        <v>2060.37</v>
      </c>
      <c r="AC35">
        <f t="shared" si="48"/>
        <v>2060.37</v>
      </c>
      <c r="AD35">
        <f t="shared" ref="AD35:AF40" si="50">ROUND((ET35),6)</f>
        <v>0</v>
      </c>
      <c r="AE35">
        <f t="shared" si="50"/>
        <v>0</v>
      </c>
      <c r="AF35">
        <f t="shared" si="50"/>
        <v>0</v>
      </c>
      <c r="AG35">
        <f t="shared" si="27"/>
        <v>0</v>
      </c>
      <c r="AH35">
        <f t="shared" ref="AH35:AI40" si="51">(EW35)</f>
        <v>0</v>
      </c>
      <c r="AI35">
        <f t="shared" si="51"/>
        <v>0</v>
      </c>
      <c r="AJ35">
        <f t="shared" si="28"/>
        <v>0</v>
      </c>
      <c r="AK35">
        <v>2060.37</v>
      </c>
      <c r="AL35">
        <v>2060.37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1</v>
      </c>
      <c r="AW35">
        <v>1.0029999999999999</v>
      </c>
      <c r="AZ35">
        <v>1</v>
      </c>
      <c r="BA35">
        <v>1</v>
      </c>
      <c r="BB35">
        <v>1</v>
      </c>
      <c r="BC35">
        <v>1.93</v>
      </c>
      <c r="BD35" t="s">
        <v>3</v>
      </c>
      <c r="BE35" t="s">
        <v>3</v>
      </c>
      <c r="BF35" t="s">
        <v>3</v>
      </c>
      <c r="BG35" t="s">
        <v>3</v>
      </c>
      <c r="BH35">
        <v>3</v>
      </c>
      <c r="BI35">
        <v>1</v>
      </c>
      <c r="BJ35" t="s">
        <v>59</v>
      </c>
      <c r="BM35">
        <v>142</v>
      </c>
      <c r="BN35">
        <v>0</v>
      </c>
      <c r="BO35" t="s">
        <v>56</v>
      </c>
      <c r="BP35">
        <v>1</v>
      </c>
      <c r="BQ35">
        <v>30</v>
      </c>
      <c r="BR35">
        <v>0</v>
      </c>
      <c r="BS35">
        <v>1</v>
      </c>
      <c r="BT35">
        <v>1</v>
      </c>
      <c r="BU35">
        <v>1</v>
      </c>
      <c r="BV35">
        <v>1</v>
      </c>
      <c r="BW35">
        <v>1</v>
      </c>
      <c r="BX35">
        <v>1</v>
      </c>
      <c r="BY35" t="s">
        <v>3</v>
      </c>
      <c r="BZ35">
        <v>0</v>
      </c>
      <c r="CA35">
        <v>0</v>
      </c>
      <c r="CF35">
        <v>0</v>
      </c>
      <c r="CG35">
        <v>0</v>
      </c>
      <c r="CM35">
        <v>0</v>
      </c>
      <c r="CN35" t="s">
        <v>3</v>
      </c>
      <c r="CO35">
        <v>0</v>
      </c>
      <c r="CP35">
        <f t="shared" si="29"/>
        <v>55838.21</v>
      </c>
      <c r="CQ35">
        <f t="shared" si="30"/>
        <v>3988.4436422999993</v>
      </c>
      <c r="CR35">
        <f t="shared" si="31"/>
        <v>0</v>
      </c>
      <c r="CS35">
        <f t="shared" si="32"/>
        <v>0</v>
      </c>
      <c r="CT35">
        <f t="shared" si="33"/>
        <v>0</v>
      </c>
      <c r="CU35">
        <f t="shared" si="34"/>
        <v>0</v>
      </c>
      <c r="CV35">
        <f t="shared" si="35"/>
        <v>0</v>
      </c>
      <c r="CW35">
        <f t="shared" si="36"/>
        <v>0</v>
      </c>
      <c r="CX35">
        <f t="shared" si="37"/>
        <v>0</v>
      </c>
      <c r="CY35">
        <f t="shared" si="38"/>
        <v>0</v>
      </c>
      <c r="CZ35">
        <f t="shared" si="39"/>
        <v>0</v>
      </c>
      <c r="DC35" t="s">
        <v>3</v>
      </c>
      <c r="DD35" t="s">
        <v>3</v>
      </c>
      <c r="DE35" t="s">
        <v>3</v>
      </c>
      <c r="DF35" t="s">
        <v>3</v>
      </c>
      <c r="DG35" t="s">
        <v>3</v>
      </c>
      <c r="DH35" t="s">
        <v>3</v>
      </c>
      <c r="DI35" t="s">
        <v>3</v>
      </c>
      <c r="DJ35" t="s">
        <v>3</v>
      </c>
      <c r="DK35" t="s">
        <v>3</v>
      </c>
      <c r="DL35" t="s">
        <v>3</v>
      </c>
      <c r="DM35" t="s">
        <v>3</v>
      </c>
      <c r="DN35">
        <v>133</v>
      </c>
      <c r="DO35">
        <v>113</v>
      </c>
      <c r="DP35">
        <v>1.0669999999999999</v>
      </c>
      <c r="DQ35">
        <v>1.0029999999999999</v>
      </c>
      <c r="DU35">
        <v>1013</v>
      </c>
      <c r="DV35" t="s">
        <v>58</v>
      </c>
      <c r="DW35" t="s">
        <v>58</v>
      </c>
      <c r="DX35">
        <v>1</v>
      </c>
      <c r="EE35">
        <v>33194062</v>
      </c>
      <c r="EF35">
        <v>30</v>
      </c>
      <c r="EG35" t="s">
        <v>48</v>
      </c>
      <c r="EH35">
        <v>0</v>
      </c>
      <c r="EI35" t="s">
        <v>3</v>
      </c>
      <c r="EJ35">
        <v>1</v>
      </c>
      <c r="EK35">
        <v>142</v>
      </c>
      <c r="EL35" t="s">
        <v>49</v>
      </c>
      <c r="EM35" t="s">
        <v>50</v>
      </c>
      <c r="EO35" t="s">
        <v>3</v>
      </c>
      <c r="EQ35">
        <v>256</v>
      </c>
      <c r="ER35">
        <v>2060.37</v>
      </c>
      <c r="ES35">
        <v>2060.37</v>
      </c>
      <c r="ET35">
        <v>0</v>
      </c>
      <c r="EU35">
        <v>0</v>
      </c>
      <c r="EV35">
        <v>0</v>
      </c>
      <c r="EW35">
        <v>0</v>
      </c>
      <c r="EX35">
        <v>0</v>
      </c>
      <c r="FQ35">
        <v>0</v>
      </c>
      <c r="FR35">
        <f t="shared" si="40"/>
        <v>0</v>
      </c>
      <c r="FS35">
        <v>0</v>
      </c>
      <c r="FX35">
        <v>133</v>
      </c>
      <c r="FY35">
        <v>113</v>
      </c>
      <c r="GA35" t="s">
        <v>3</v>
      </c>
      <c r="GD35">
        <v>0</v>
      </c>
      <c r="GF35">
        <v>-2048192663</v>
      </c>
      <c r="GG35">
        <v>2</v>
      </c>
      <c r="GH35">
        <v>1</v>
      </c>
      <c r="GI35">
        <v>2</v>
      </c>
      <c r="GJ35">
        <v>0</v>
      </c>
      <c r="GK35">
        <f>ROUND(R35*(R12)/100,2)</f>
        <v>0</v>
      </c>
      <c r="GL35">
        <f t="shared" si="41"/>
        <v>0</v>
      </c>
      <c r="GM35">
        <f t="shared" si="42"/>
        <v>55838.21</v>
      </c>
      <c r="GN35">
        <f t="shared" si="43"/>
        <v>55838.21</v>
      </c>
      <c r="GO35">
        <f t="shared" si="44"/>
        <v>0</v>
      </c>
      <c r="GP35">
        <f t="shared" si="45"/>
        <v>0</v>
      </c>
      <c r="GR35">
        <v>0</v>
      </c>
      <c r="GT35">
        <v>0</v>
      </c>
      <c r="GU35">
        <v>1</v>
      </c>
      <c r="GV35">
        <v>0</v>
      </c>
      <c r="GW35">
        <v>0</v>
      </c>
    </row>
    <row r="36" spans="1:205" x14ac:dyDescent="0.2">
      <c r="A36">
        <v>17</v>
      </c>
      <c r="B36">
        <v>1</v>
      </c>
      <c r="C36">
        <f>ROW(SmtRes!A20)</f>
        <v>20</v>
      </c>
      <c r="D36">
        <f>ROW(EtalonRes!A18)</f>
        <v>18</v>
      </c>
      <c r="E36" t="s">
        <v>60</v>
      </c>
      <c r="F36" t="s">
        <v>61</v>
      </c>
      <c r="G36" t="s">
        <v>62</v>
      </c>
      <c r="H36" t="s">
        <v>63</v>
      </c>
      <c r="I36">
        <f>ROUND(503.582/100,9)</f>
        <v>5.0358200000000002</v>
      </c>
      <c r="J36">
        <v>0</v>
      </c>
      <c r="O36">
        <f t="shared" si="15"/>
        <v>35537.379999999997</v>
      </c>
      <c r="P36">
        <f t="shared" si="16"/>
        <v>0</v>
      </c>
      <c r="Q36">
        <f t="shared" si="17"/>
        <v>34059.599999999999</v>
      </c>
      <c r="R36">
        <f t="shared" si="18"/>
        <v>14723.3</v>
      </c>
      <c r="S36">
        <f t="shared" si="19"/>
        <v>1477.78</v>
      </c>
      <c r="T36">
        <f t="shared" si="20"/>
        <v>0</v>
      </c>
      <c r="U36">
        <f t="shared" si="21"/>
        <v>8.2837224671999987</v>
      </c>
      <c r="V36">
        <f t="shared" si="22"/>
        <v>0</v>
      </c>
      <c r="W36">
        <f t="shared" si="23"/>
        <v>0</v>
      </c>
      <c r="X36">
        <f t="shared" si="24"/>
        <v>1433.45</v>
      </c>
      <c r="Y36">
        <f t="shared" si="25"/>
        <v>798</v>
      </c>
      <c r="AA36">
        <v>90163004</v>
      </c>
      <c r="AB36">
        <f t="shared" si="26"/>
        <v>771.65</v>
      </c>
      <c r="AC36">
        <f t="shared" si="48"/>
        <v>0</v>
      </c>
      <c r="AD36">
        <f t="shared" si="50"/>
        <v>757.55</v>
      </c>
      <c r="AE36">
        <f t="shared" si="50"/>
        <v>140.47999999999999</v>
      </c>
      <c r="AF36">
        <f t="shared" si="50"/>
        <v>14.1</v>
      </c>
      <c r="AG36">
        <f t="shared" si="27"/>
        <v>0</v>
      </c>
      <c r="AH36">
        <f t="shared" si="51"/>
        <v>1.38</v>
      </c>
      <c r="AI36">
        <f t="shared" si="51"/>
        <v>0</v>
      </c>
      <c r="AJ36">
        <f t="shared" si="28"/>
        <v>0</v>
      </c>
      <c r="AK36">
        <v>771.65</v>
      </c>
      <c r="AL36">
        <v>0</v>
      </c>
      <c r="AM36">
        <v>757.55</v>
      </c>
      <c r="AN36">
        <v>140.47999999999999</v>
      </c>
      <c r="AO36">
        <v>14.1</v>
      </c>
      <c r="AP36">
        <v>0</v>
      </c>
      <c r="AQ36">
        <v>1.38</v>
      </c>
      <c r="AR36">
        <v>0</v>
      </c>
      <c r="AS36">
        <v>0</v>
      </c>
      <c r="AT36">
        <v>97</v>
      </c>
      <c r="AU36">
        <v>54</v>
      </c>
      <c r="AV36">
        <v>1.1919999999999999</v>
      </c>
      <c r="AW36">
        <v>1</v>
      </c>
      <c r="AZ36">
        <v>1</v>
      </c>
      <c r="BA36">
        <v>17.46</v>
      </c>
      <c r="BB36">
        <v>7.49</v>
      </c>
      <c r="BC36">
        <v>1</v>
      </c>
      <c r="BD36" t="s">
        <v>3</v>
      </c>
      <c r="BE36" t="s">
        <v>3</v>
      </c>
      <c r="BF36" t="s">
        <v>3</v>
      </c>
      <c r="BG36" t="s">
        <v>3</v>
      </c>
      <c r="BH36">
        <v>0</v>
      </c>
      <c r="BI36">
        <v>1</v>
      </c>
      <c r="BJ36" t="s">
        <v>64</v>
      </c>
      <c r="BM36">
        <v>2</v>
      </c>
      <c r="BN36">
        <v>0</v>
      </c>
      <c r="BO36" t="s">
        <v>61</v>
      </c>
      <c r="BP36">
        <v>1</v>
      </c>
      <c r="BQ36">
        <v>30</v>
      </c>
      <c r="BR36">
        <v>0</v>
      </c>
      <c r="BS36">
        <v>17.46</v>
      </c>
      <c r="BT36">
        <v>1</v>
      </c>
      <c r="BU36">
        <v>1</v>
      </c>
      <c r="BV36">
        <v>1</v>
      </c>
      <c r="BW36">
        <v>1</v>
      </c>
      <c r="BX36">
        <v>1</v>
      </c>
      <c r="BY36" t="s">
        <v>3</v>
      </c>
      <c r="BZ36">
        <v>97</v>
      </c>
      <c r="CA36">
        <v>54</v>
      </c>
      <c r="CF36">
        <v>0</v>
      </c>
      <c r="CG36">
        <v>0</v>
      </c>
      <c r="CM36">
        <v>0</v>
      </c>
      <c r="CN36" t="s">
        <v>3</v>
      </c>
      <c r="CO36">
        <v>0</v>
      </c>
      <c r="CP36">
        <f t="shared" si="29"/>
        <v>35537.379999999997</v>
      </c>
      <c r="CQ36">
        <f t="shared" si="30"/>
        <v>0</v>
      </c>
      <c r="CR36">
        <f t="shared" si="31"/>
        <v>6763.4670040000001</v>
      </c>
      <c r="CS36">
        <f t="shared" si="32"/>
        <v>2923.7147135999999</v>
      </c>
      <c r="CT36">
        <f t="shared" si="33"/>
        <v>293.453712</v>
      </c>
      <c r="CU36">
        <f t="shared" si="34"/>
        <v>0</v>
      </c>
      <c r="CV36">
        <f t="shared" si="35"/>
        <v>1.6449599999999998</v>
      </c>
      <c r="CW36">
        <f t="shared" si="36"/>
        <v>0</v>
      </c>
      <c r="CX36">
        <f t="shared" si="37"/>
        <v>0</v>
      </c>
      <c r="CY36">
        <f t="shared" si="38"/>
        <v>1433.4466</v>
      </c>
      <c r="CZ36">
        <f t="shared" si="39"/>
        <v>798.00120000000004</v>
      </c>
      <c r="DC36" t="s">
        <v>3</v>
      </c>
      <c r="DD36" t="s">
        <v>3</v>
      </c>
      <c r="DE36" t="s">
        <v>3</v>
      </c>
      <c r="DF36" t="s">
        <v>3</v>
      </c>
      <c r="DG36" t="s">
        <v>3</v>
      </c>
      <c r="DH36" t="s">
        <v>3</v>
      </c>
      <c r="DI36" t="s">
        <v>3</v>
      </c>
      <c r="DJ36" t="s">
        <v>3</v>
      </c>
      <c r="DK36" t="s">
        <v>3</v>
      </c>
      <c r="DL36" t="s">
        <v>3</v>
      </c>
      <c r="DM36" t="s">
        <v>3</v>
      </c>
      <c r="DN36">
        <v>98</v>
      </c>
      <c r="DO36">
        <v>77</v>
      </c>
      <c r="DP36">
        <v>1.1919999999999999</v>
      </c>
      <c r="DQ36">
        <v>1</v>
      </c>
      <c r="DU36">
        <v>1007</v>
      </c>
      <c r="DV36" t="s">
        <v>63</v>
      </c>
      <c r="DW36" t="s">
        <v>63</v>
      </c>
      <c r="DX36">
        <v>100</v>
      </c>
      <c r="EE36">
        <v>33193650</v>
      </c>
      <c r="EF36">
        <v>30</v>
      </c>
      <c r="EG36" t="s">
        <v>48</v>
      </c>
      <c r="EH36">
        <v>0</v>
      </c>
      <c r="EI36" t="s">
        <v>3</v>
      </c>
      <c r="EJ36">
        <v>1</v>
      </c>
      <c r="EK36">
        <v>2</v>
      </c>
      <c r="EL36" t="s">
        <v>65</v>
      </c>
      <c r="EM36" t="s">
        <v>66</v>
      </c>
      <c r="EO36" t="s">
        <v>3</v>
      </c>
      <c r="EQ36">
        <v>256</v>
      </c>
      <c r="ER36">
        <v>771.65</v>
      </c>
      <c r="ES36">
        <v>0</v>
      </c>
      <c r="ET36">
        <v>757.55</v>
      </c>
      <c r="EU36">
        <v>140.47999999999999</v>
      </c>
      <c r="EV36">
        <v>14.1</v>
      </c>
      <c r="EW36">
        <v>1.38</v>
      </c>
      <c r="EX36">
        <v>0</v>
      </c>
      <c r="EY36">
        <v>0</v>
      </c>
      <c r="FQ36">
        <v>0</v>
      </c>
      <c r="FR36">
        <f t="shared" si="40"/>
        <v>0</v>
      </c>
      <c r="FS36">
        <v>0</v>
      </c>
      <c r="FX36">
        <v>98</v>
      </c>
      <c r="FY36">
        <v>77</v>
      </c>
      <c r="GA36" t="s">
        <v>3</v>
      </c>
      <c r="GD36">
        <v>0</v>
      </c>
      <c r="GF36">
        <v>-1881523562</v>
      </c>
      <c r="GG36">
        <v>2</v>
      </c>
      <c r="GH36">
        <v>1</v>
      </c>
      <c r="GI36">
        <v>2</v>
      </c>
      <c r="GJ36">
        <v>0</v>
      </c>
      <c r="GK36">
        <f>ROUND(R36*(R12)/100,2)</f>
        <v>24587.91</v>
      </c>
      <c r="GL36">
        <f t="shared" si="41"/>
        <v>0</v>
      </c>
      <c r="GM36">
        <f t="shared" si="42"/>
        <v>62356.739999999991</v>
      </c>
      <c r="GN36">
        <f t="shared" si="43"/>
        <v>62356.74</v>
      </c>
      <c r="GO36">
        <f t="shared" si="44"/>
        <v>0</v>
      </c>
      <c r="GP36">
        <f t="shared" si="45"/>
        <v>0</v>
      </c>
      <c r="GR36">
        <v>0</v>
      </c>
      <c r="GT36">
        <v>0</v>
      </c>
      <c r="GU36">
        <v>1</v>
      </c>
      <c r="GV36">
        <v>0</v>
      </c>
      <c r="GW36">
        <v>0</v>
      </c>
    </row>
    <row r="37" spans="1:205" x14ac:dyDescent="0.2">
      <c r="A37">
        <v>17</v>
      </c>
      <c r="B37">
        <v>1</v>
      </c>
      <c r="E37" t="s">
        <v>67</v>
      </c>
      <c r="F37" t="s">
        <v>68</v>
      </c>
      <c r="G37" t="s">
        <v>69</v>
      </c>
      <c r="H37" t="s">
        <v>30</v>
      </c>
      <c r="I37">
        <f>ROUND(I36*100,9)</f>
        <v>503.58199999999999</v>
      </c>
      <c r="J37">
        <v>0</v>
      </c>
      <c r="O37">
        <f t="shared" si="15"/>
        <v>315337.81</v>
      </c>
      <c r="P37">
        <f t="shared" si="16"/>
        <v>0</v>
      </c>
      <c r="Q37">
        <f t="shared" si="17"/>
        <v>315337.81</v>
      </c>
      <c r="R37">
        <f t="shared" si="18"/>
        <v>0</v>
      </c>
      <c r="S37">
        <f t="shared" si="19"/>
        <v>0</v>
      </c>
      <c r="T37">
        <f t="shared" si="20"/>
        <v>0</v>
      </c>
      <c r="U37">
        <f t="shared" si="21"/>
        <v>0</v>
      </c>
      <c r="V37">
        <f t="shared" si="22"/>
        <v>0</v>
      </c>
      <c r="W37">
        <f t="shared" si="23"/>
        <v>0</v>
      </c>
      <c r="X37">
        <f t="shared" si="24"/>
        <v>0</v>
      </c>
      <c r="Y37">
        <f t="shared" si="25"/>
        <v>0</v>
      </c>
      <c r="AA37">
        <v>90163004</v>
      </c>
      <c r="AB37">
        <f t="shared" si="26"/>
        <v>71.319999999999993</v>
      </c>
      <c r="AC37">
        <f t="shared" si="48"/>
        <v>0</v>
      </c>
      <c r="AD37">
        <f t="shared" si="50"/>
        <v>71.319999999999993</v>
      </c>
      <c r="AE37">
        <f t="shared" si="50"/>
        <v>0</v>
      </c>
      <c r="AF37">
        <f t="shared" si="50"/>
        <v>0</v>
      </c>
      <c r="AG37">
        <f t="shared" si="27"/>
        <v>0</v>
      </c>
      <c r="AH37">
        <f t="shared" si="51"/>
        <v>0</v>
      </c>
      <c r="AI37">
        <f t="shared" si="51"/>
        <v>0</v>
      </c>
      <c r="AJ37">
        <f t="shared" si="28"/>
        <v>0</v>
      </c>
      <c r="AK37">
        <v>71.319999999999993</v>
      </c>
      <c r="AL37">
        <v>0</v>
      </c>
      <c r="AM37">
        <v>71.319999999999993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1</v>
      </c>
      <c r="AW37">
        <v>1</v>
      </c>
      <c r="AZ37">
        <v>1</v>
      </c>
      <c r="BA37">
        <v>17.46</v>
      </c>
      <c r="BB37">
        <v>8.7799999999999994</v>
      </c>
      <c r="BC37">
        <v>1</v>
      </c>
      <c r="BD37" t="s">
        <v>3</v>
      </c>
      <c r="BE37" t="s">
        <v>3</v>
      </c>
      <c r="BF37" t="s">
        <v>3</v>
      </c>
      <c r="BG37" t="s">
        <v>3</v>
      </c>
      <c r="BH37">
        <v>0</v>
      </c>
      <c r="BI37">
        <v>4</v>
      </c>
      <c r="BJ37" t="s">
        <v>70</v>
      </c>
      <c r="BM37">
        <v>1111</v>
      </c>
      <c r="BN37">
        <v>0</v>
      </c>
      <c r="BO37" t="s">
        <v>68</v>
      </c>
      <c r="BP37">
        <v>1</v>
      </c>
      <c r="BQ37">
        <v>150</v>
      </c>
      <c r="BR37">
        <v>0</v>
      </c>
      <c r="BS37">
        <v>17.46</v>
      </c>
      <c r="BT37">
        <v>1</v>
      </c>
      <c r="BU37">
        <v>1</v>
      </c>
      <c r="BV37">
        <v>1</v>
      </c>
      <c r="BW37">
        <v>1</v>
      </c>
      <c r="BX37">
        <v>1</v>
      </c>
      <c r="BY37" t="s">
        <v>3</v>
      </c>
      <c r="BZ37">
        <v>0</v>
      </c>
      <c r="CA37">
        <v>0</v>
      </c>
      <c r="CF37">
        <v>0</v>
      </c>
      <c r="CG37">
        <v>0</v>
      </c>
      <c r="CM37">
        <v>0</v>
      </c>
      <c r="CN37" t="s">
        <v>3</v>
      </c>
      <c r="CO37">
        <v>0</v>
      </c>
      <c r="CP37">
        <f t="shared" si="29"/>
        <v>315337.81</v>
      </c>
      <c r="CQ37">
        <f t="shared" si="30"/>
        <v>0</v>
      </c>
      <c r="CR37">
        <f t="shared" si="31"/>
        <v>626.18959999999993</v>
      </c>
      <c r="CS37">
        <f t="shared" si="32"/>
        <v>0</v>
      </c>
      <c r="CT37">
        <f t="shared" si="33"/>
        <v>0</v>
      </c>
      <c r="CU37">
        <f t="shared" si="34"/>
        <v>0</v>
      </c>
      <c r="CV37">
        <f t="shared" si="35"/>
        <v>0</v>
      </c>
      <c r="CW37">
        <f t="shared" si="36"/>
        <v>0</v>
      </c>
      <c r="CX37">
        <f t="shared" si="37"/>
        <v>0</v>
      </c>
      <c r="CY37">
        <f t="shared" si="38"/>
        <v>0</v>
      </c>
      <c r="CZ37">
        <f t="shared" si="39"/>
        <v>0</v>
      </c>
      <c r="DC37" t="s">
        <v>3</v>
      </c>
      <c r="DD37" t="s">
        <v>3</v>
      </c>
      <c r="DE37" t="s">
        <v>3</v>
      </c>
      <c r="DF37" t="s">
        <v>3</v>
      </c>
      <c r="DG37" t="s">
        <v>3</v>
      </c>
      <c r="DH37" t="s">
        <v>3</v>
      </c>
      <c r="DI37" t="s">
        <v>3</v>
      </c>
      <c r="DJ37" t="s">
        <v>3</v>
      </c>
      <c r="DK37" t="s">
        <v>3</v>
      </c>
      <c r="DL37" t="s">
        <v>3</v>
      </c>
      <c r="DM37" t="s">
        <v>3</v>
      </c>
      <c r="DN37">
        <v>0</v>
      </c>
      <c r="DO37">
        <v>0</v>
      </c>
      <c r="DP37">
        <v>1</v>
      </c>
      <c r="DQ37">
        <v>1</v>
      </c>
      <c r="DU37">
        <v>1007</v>
      </c>
      <c r="DV37" t="s">
        <v>30</v>
      </c>
      <c r="DW37" t="s">
        <v>30</v>
      </c>
      <c r="DX37">
        <v>1</v>
      </c>
      <c r="EE37">
        <v>33196047</v>
      </c>
      <c r="EF37">
        <v>150</v>
      </c>
      <c r="EG37" t="s">
        <v>71</v>
      </c>
      <c r="EH37">
        <v>0</v>
      </c>
      <c r="EI37" t="s">
        <v>3</v>
      </c>
      <c r="EJ37">
        <v>4</v>
      </c>
      <c r="EK37">
        <v>1111</v>
      </c>
      <c r="EL37" t="s">
        <v>72</v>
      </c>
      <c r="EM37" t="s">
        <v>73</v>
      </c>
      <c r="EO37" t="s">
        <v>3</v>
      </c>
      <c r="EQ37">
        <v>256</v>
      </c>
      <c r="ER37">
        <v>71.319999999999993</v>
      </c>
      <c r="ES37">
        <v>0</v>
      </c>
      <c r="ET37">
        <v>71.319999999999993</v>
      </c>
      <c r="EU37">
        <v>0</v>
      </c>
      <c r="EV37">
        <v>0</v>
      </c>
      <c r="EW37">
        <v>0</v>
      </c>
      <c r="EX37">
        <v>0</v>
      </c>
      <c r="EY37">
        <v>0</v>
      </c>
      <c r="FQ37">
        <v>0</v>
      </c>
      <c r="FR37">
        <f t="shared" si="40"/>
        <v>0</v>
      </c>
      <c r="FS37">
        <v>0</v>
      </c>
      <c r="FX37">
        <v>0</v>
      </c>
      <c r="FY37">
        <v>0</v>
      </c>
      <c r="GA37" t="s">
        <v>3</v>
      </c>
      <c r="GD37">
        <v>0</v>
      </c>
      <c r="GF37">
        <v>-479188797</v>
      </c>
      <c r="GG37">
        <v>2</v>
      </c>
      <c r="GH37">
        <v>1</v>
      </c>
      <c r="GI37">
        <v>2</v>
      </c>
      <c r="GJ37">
        <v>0</v>
      </c>
      <c r="GK37">
        <f>ROUND(R37*(R12)/100,2)</f>
        <v>0</v>
      </c>
      <c r="GL37">
        <f t="shared" si="41"/>
        <v>0</v>
      </c>
      <c r="GM37">
        <f t="shared" si="42"/>
        <v>315337.81</v>
      </c>
      <c r="GN37">
        <f t="shared" si="43"/>
        <v>0</v>
      </c>
      <c r="GO37">
        <f t="shared" si="44"/>
        <v>0</v>
      </c>
      <c r="GP37">
        <f t="shared" si="45"/>
        <v>315337.81</v>
      </c>
      <c r="GR37">
        <v>0</v>
      </c>
      <c r="GT37">
        <v>0</v>
      </c>
      <c r="GU37">
        <v>1</v>
      </c>
      <c r="GV37">
        <v>0</v>
      </c>
      <c r="GW37">
        <v>0</v>
      </c>
    </row>
    <row r="38" spans="1:205" x14ac:dyDescent="0.2">
      <c r="A38">
        <v>17</v>
      </c>
      <c r="B38">
        <v>1</v>
      </c>
      <c r="E38" t="s">
        <v>74</v>
      </c>
      <c r="F38" t="s">
        <v>75</v>
      </c>
      <c r="G38" t="s">
        <v>76</v>
      </c>
      <c r="H38" t="s">
        <v>39</v>
      </c>
      <c r="I38">
        <f>ROUND(I37*1.5,9)</f>
        <v>755.37300000000005</v>
      </c>
      <c r="J38">
        <v>0</v>
      </c>
      <c r="O38">
        <f t="shared" si="15"/>
        <v>68327.42</v>
      </c>
      <c r="P38">
        <f t="shared" si="16"/>
        <v>0</v>
      </c>
      <c r="Q38">
        <f t="shared" si="17"/>
        <v>68327.42</v>
      </c>
      <c r="R38">
        <f t="shared" si="18"/>
        <v>0</v>
      </c>
      <c r="S38">
        <f t="shared" si="19"/>
        <v>0</v>
      </c>
      <c r="T38">
        <f t="shared" si="20"/>
        <v>0</v>
      </c>
      <c r="U38">
        <f t="shared" si="21"/>
        <v>0</v>
      </c>
      <c r="V38">
        <f t="shared" si="22"/>
        <v>0</v>
      </c>
      <c r="W38">
        <f t="shared" si="23"/>
        <v>0</v>
      </c>
      <c r="X38">
        <f t="shared" si="24"/>
        <v>0</v>
      </c>
      <c r="Y38">
        <f t="shared" si="25"/>
        <v>0</v>
      </c>
      <c r="AA38">
        <v>90163004</v>
      </c>
      <c r="AB38">
        <f t="shared" si="26"/>
        <v>43.28</v>
      </c>
      <c r="AC38">
        <f t="shared" si="48"/>
        <v>0</v>
      </c>
      <c r="AD38">
        <f t="shared" si="50"/>
        <v>43.28</v>
      </c>
      <c r="AE38">
        <f t="shared" si="50"/>
        <v>0</v>
      </c>
      <c r="AF38">
        <f t="shared" si="50"/>
        <v>0</v>
      </c>
      <c r="AG38">
        <f t="shared" si="27"/>
        <v>0</v>
      </c>
      <c r="AH38">
        <f t="shared" si="51"/>
        <v>0</v>
      </c>
      <c r="AI38">
        <f t="shared" si="51"/>
        <v>0</v>
      </c>
      <c r="AJ38">
        <f t="shared" si="28"/>
        <v>0</v>
      </c>
      <c r="AK38">
        <v>43.28</v>
      </c>
      <c r="AL38">
        <v>0</v>
      </c>
      <c r="AM38">
        <v>43.28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1</v>
      </c>
      <c r="AW38">
        <v>1</v>
      </c>
      <c r="AZ38">
        <v>1</v>
      </c>
      <c r="BA38">
        <v>17.46</v>
      </c>
      <c r="BB38">
        <v>2.09</v>
      </c>
      <c r="BC38">
        <v>1</v>
      </c>
      <c r="BD38" t="s">
        <v>3</v>
      </c>
      <c r="BE38" t="s">
        <v>3</v>
      </c>
      <c r="BF38" t="s">
        <v>3</v>
      </c>
      <c r="BG38" t="s">
        <v>3</v>
      </c>
      <c r="BH38">
        <v>0</v>
      </c>
      <c r="BI38">
        <v>4</v>
      </c>
      <c r="BJ38" t="s">
        <v>77</v>
      </c>
      <c r="BM38">
        <v>1111</v>
      </c>
      <c r="BN38">
        <v>0</v>
      </c>
      <c r="BO38" t="s">
        <v>75</v>
      </c>
      <c r="BP38">
        <v>1</v>
      </c>
      <c r="BQ38">
        <v>150</v>
      </c>
      <c r="BR38">
        <v>0</v>
      </c>
      <c r="BS38">
        <v>17.46</v>
      </c>
      <c r="BT38">
        <v>1</v>
      </c>
      <c r="BU38">
        <v>1</v>
      </c>
      <c r="BV38">
        <v>1</v>
      </c>
      <c r="BW38">
        <v>1</v>
      </c>
      <c r="BX38">
        <v>1</v>
      </c>
      <c r="BY38" t="s">
        <v>3</v>
      </c>
      <c r="BZ38">
        <v>0</v>
      </c>
      <c r="CA38">
        <v>0</v>
      </c>
      <c r="CF38">
        <v>0</v>
      </c>
      <c r="CG38">
        <v>0</v>
      </c>
      <c r="CM38">
        <v>0</v>
      </c>
      <c r="CN38" t="s">
        <v>3</v>
      </c>
      <c r="CO38">
        <v>0</v>
      </c>
      <c r="CP38">
        <f t="shared" si="29"/>
        <v>68327.42</v>
      </c>
      <c r="CQ38">
        <f t="shared" si="30"/>
        <v>0</v>
      </c>
      <c r="CR38">
        <f t="shared" si="31"/>
        <v>90.455199999999991</v>
      </c>
      <c r="CS38">
        <f t="shared" si="32"/>
        <v>0</v>
      </c>
      <c r="CT38">
        <f t="shared" si="33"/>
        <v>0</v>
      </c>
      <c r="CU38">
        <f t="shared" si="34"/>
        <v>0</v>
      </c>
      <c r="CV38">
        <f t="shared" si="35"/>
        <v>0</v>
      </c>
      <c r="CW38">
        <f t="shared" si="36"/>
        <v>0</v>
      </c>
      <c r="CX38">
        <f t="shared" si="37"/>
        <v>0</v>
      </c>
      <c r="CY38">
        <f t="shared" si="38"/>
        <v>0</v>
      </c>
      <c r="CZ38">
        <f t="shared" si="39"/>
        <v>0</v>
      </c>
      <c r="DC38" t="s">
        <v>3</v>
      </c>
      <c r="DD38" t="s">
        <v>3</v>
      </c>
      <c r="DE38" t="s">
        <v>3</v>
      </c>
      <c r="DF38" t="s">
        <v>3</v>
      </c>
      <c r="DG38" t="s">
        <v>3</v>
      </c>
      <c r="DH38" t="s">
        <v>3</v>
      </c>
      <c r="DI38" t="s">
        <v>3</v>
      </c>
      <c r="DJ38" t="s">
        <v>3</v>
      </c>
      <c r="DK38" t="s">
        <v>3</v>
      </c>
      <c r="DL38" t="s">
        <v>3</v>
      </c>
      <c r="DM38" t="s">
        <v>3</v>
      </c>
      <c r="DN38">
        <v>0</v>
      </c>
      <c r="DO38">
        <v>0</v>
      </c>
      <c r="DP38">
        <v>1</v>
      </c>
      <c r="DQ38">
        <v>1</v>
      </c>
      <c r="DU38">
        <v>1009</v>
      </c>
      <c r="DV38" t="s">
        <v>39</v>
      </c>
      <c r="DW38" t="s">
        <v>39</v>
      </c>
      <c r="DX38">
        <v>1000</v>
      </c>
      <c r="EE38">
        <v>33196047</v>
      </c>
      <c r="EF38">
        <v>150</v>
      </c>
      <c r="EG38" t="s">
        <v>71</v>
      </c>
      <c r="EH38">
        <v>0</v>
      </c>
      <c r="EI38" t="s">
        <v>3</v>
      </c>
      <c r="EJ38">
        <v>4</v>
      </c>
      <c r="EK38">
        <v>1111</v>
      </c>
      <c r="EL38" t="s">
        <v>72</v>
      </c>
      <c r="EM38" t="s">
        <v>73</v>
      </c>
      <c r="EO38" t="s">
        <v>3</v>
      </c>
      <c r="EQ38">
        <v>256</v>
      </c>
      <c r="ER38">
        <v>43.28</v>
      </c>
      <c r="ES38">
        <v>0</v>
      </c>
      <c r="ET38">
        <v>43.28</v>
      </c>
      <c r="EU38">
        <v>0</v>
      </c>
      <c r="EV38">
        <v>0</v>
      </c>
      <c r="EW38">
        <v>0</v>
      </c>
      <c r="EX38">
        <v>0</v>
      </c>
      <c r="EY38">
        <v>0</v>
      </c>
      <c r="FQ38">
        <v>0</v>
      </c>
      <c r="FR38">
        <f t="shared" si="40"/>
        <v>0</v>
      </c>
      <c r="FS38">
        <v>0</v>
      </c>
      <c r="FX38">
        <v>0</v>
      </c>
      <c r="FY38">
        <v>0</v>
      </c>
      <c r="GA38" t="s">
        <v>3</v>
      </c>
      <c r="GD38">
        <v>0</v>
      </c>
      <c r="GF38">
        <v>1695613196</v>
      </c>
      <c r="GG38">
        <v>2</v>
      </c>
      <c r="GH38">
        <v>1</v>
      </c>
      <c r="GI38">
        <v>2</v>
      </c>
      <c r="GJ38">
        <v>0</v>
      </c>
      <c r="GK38">
        <f>ROUND(R38*(R12)/100,2)</f>
        <v>0</v>
      </c>
      <c r="GL38">
        <f t="shared" si="41"/>
        <v>0</v>
      </c>
      <c r="GM38">
        <f t="shared" si="42"/>
        <v>68327.42</v>
      </c>
      <c r="GN38">
        <f t="shared" si="43"/>
        <v>0</v>
      </c>
      <c r="GO38">
        <f t="shared" si="44"/>
        <v>0</v>
      </c>
      <c r="GP38">
        <f t="shared" si="45"/>
        <v>68327.42</v>
      </c>
      <c r="GR38">
        <v>0</v>
      </c>
      <c r="GT38">
        <v>0</v>
      </c>
      <c r="GU38">
        <v>1</v>
      </c>
      <c r="GV38">
        <v>0</v>
      </c>
      <c r="GW38">
        <v>0</v>
      </c>
    </row>
    <row r="39" spans="1:205" x14ac:dyDescent="0.2">
      <c r="A39">
        <v>17</v>
      </c>
      <c r="B39">
        <v>1</v>
      </c>
      <c r="E39" t="s">
        <v>78</v>
      </c>
      <c r="F39" t="s">
        <v>79</v>
      </c>
      <c r="G39" t="s">
        <v>80</v>
      </c>
      <c r="H39" t="s">
        <v>39</v>
      </c>
      <c r="I39">
        <v>185.12899999999999</v>
      </c>
      <c r="J39">
        <v>0</v>
      </c>
      <c r="O39">
        <f t="shared" si="15"/>
        <v>82271.03</v>
      </c>
      <c r="P39">
        <f t="shared" si="16"/>
        <v>0</v>
      </c>
      <c r="Q39">
        <f t="shared" si="17"/>
        <v>82271.03</v>
      </c>
      <c r="R39">
        <f t="shared" si="18"/>
        <v>0</v>
      </c>
      <c r="S39">
        <f t="shared" si="19"/>
        <v>0</v>
      </c>
      <c r="T39">
        <f t="shared" si="20"/>
        <v>0</v>
      </c>
      <c r="U39">
        <f t="shared" si="21"/>
        <v>0</v>
      </c>
      <c r="V39">
        <f t="shared" si="22"/>
        <v>0</v>
      </c>
      <c r="W39">
        <f t="shared" si="23"/>
        <v>0</v>
      </c>
      <c r="X39">
        <f t="shared" si="24"/>
        <v>0</v>
      </c>
      <c r="Y39">
        <f t="shared" si="25"/>
        <v>0</v>
      </c>
      <c r="AA39">
        <v>90163004</v>
      </c>
      <c r="AB39">
        <f t="shared" si="26"/>
        <v>58.32</v>
      </c>
      <c r="AC39">
        <f t="shared" si="48"/>
        <v>0</v>
      </c>
      <c r="AD39">
        <f t="shared" si="50"/>
        <v>58.32</v>
      </c>
      <c r="AE39">
        <f t="shared" si="50"/>
        <v>0</v>
      </c>
      <c r="AF39">
        <f t="shared" si="50"/>
        <v>0</v>
      </c>
      <c r="AG39">
        <f t="shared" si="27"/>
        <v>0</v>
      </c>
      <c r="AH39">
        <f t="shared" si="51"/>
        <v>0</v>
      </c>
      <c r="AI39">
        <f t="shared" si="51"/>
        <v>0</v>
      </c>
      <c r="AJ39">
        <f t="shared" si="28"/>
        <v>0</v>
      </c>
      <c r="AK39">
        <v>58.32</v>
      </c>
      <c r="AL39">
        <v>0</v>
      </c>
      <c r="AM39">
        <v>58.32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1</v>
      </c>
      <c r="AW39">
        <v>1</v>
      </c>
      <c r="AZ39">
        <v>1</v>
      </c>
      <c r="BA39">
        <v>17.46</v>
      </c>
      <c r="BB39">
        <v>7.62</v>
      </c>
      <c r="BC39">
        <v>1</v>
      </c>
      <c r="BD39" t="s">
        <v>3</v>
      </c>
      <c r="BE39" t="s">
        <v>3</v>
      </c>
      <c r="BF39" t="s">
        <v>3</v>
      </c>
      <c r="BG39" t="s">
        <v>3</v>
      </c>
      <c r="BH39">
        <v>0</v>
      </c>
      <c r="BI39">
        <v>4</v>
      </c>
      <c r="BJ39" t="s">
        <v>81</v>
      </c>
      <c r="BM39">
        <v>1113</v>
      </c>
      <c r="BN39">
        <v>0</v>
      </c>
      <c r="BO39" t="s">
        <v>79</v>
      </c>
      <c r="BP39">
        <v>1</v>
      </c>
      <c r="BQ39">
        <v>150</v>
      </c>
      <c r="BR39">
        <v>0</v>
      </c>
      <c r="BS39">
        <v>17.46</v>
      </c>
      <c r="BT39">
        <v>1</v>
      </c>
      <c r="BU39">
        <v>1</v>
      </c>
      <c r="BV39">
        <v>1</v>
      </c>
      <c r="BW39">
        <v>1</v>
      </c>
      <c r="BX39">
        <v>1</v>
      </c>
      <c r="BY39" t="s">
        <v>3</v>
      </c>
      <c r="BZ39">
        <v>0</v>
      </c>
      <c r="CA39">
        <v>0</v>
      </c>
      <c r="CF39">
        <v>0</v>
      </c>
      <c r="CG39">
        <v>0</v>
      </c>
      <c r="CM39">
        <v>0</v>
      </c>
      <c r="CN39" t="s">
        <v>3</v>
      </c>
      <c r="CO39">
        <v>0</v>
      </c>
      <c r="CP39">
        <f t="shared" si="29"/>
        <v>82271.03</v>
      </c>
      <c r="CQ39">
        <f t="shared" si="30"/>
        <v>0</v>
      </c>
      <c r="CR39">
        <f t="shared" si="31"/>
        <v>444.39839999999998</v>
      </c>
      <c r="CS39">
        <f t="shared" si="32"/>
        <v>0</v>
      </c>
      <c r="CT39">
        <f t="shared" si="33"/>
        <v>0</v>
      </c>
      <c r="CU39">
        <f t="shared" si="34"/>
        <v>0</v>
      </c>
      <c r="CV39">
        <f t="shared" si="35"/>
        <v>0</v>
      </c>
      <c r="CW39">
        <f t="shared" si="36"/>
        <v>0</v>
      </c>
      <c r="CX39">
        <f t="shared" si="37"/>
        <v>0</v>
      </c>
      <c r="CY39">
        <f t="shared" si="38"/>
        <v>0</v>
      </c>
      <c r="CZ39">
        <f t="shared" si="39"/>
        <v>0</v>
      </c>
      <c r="DC39" t="s">
        <v>3</v>
      </c>
      <c r="DD39" t="s">
        <v>3</v>
      </c>
      <c r="DE39" t="s">
        <v>3</v>
      </c>
      <c r="DF39" t="s">
        <v>3</v>
      </c>
      <c r="DG39" t="s">
        <v>3</v>
      </c>
      <c r="DH39" t="s">
        <v>3</v>
      </c>
      <c r="DI39" t="s">
        <v>3</v>
      </c>
      <c r="DJ39" t="s">
        <v>3</v>
      </c>
      <c r="DK39" t="s">
        <v>3</v>
      </c>
      <c r="DL39" t="s">
        <v>3</v>
      </c>
      <c r="DM39" t="s">
        <v>3</v>
      </c>
      <c r="DN39">
        <v>0</v>
      </c>
      <c r="DO39">
        <v>0</v>
      </c>
      <c r="DP39">
        <v>1</v>
      </c>
      <c r="DQ39">
        <v>1</v>
      </c>
      <c r="DU39">
        <v>1009</v>
      </c>
      <c r="DV39" t="s">
        <v>39</v>
      </c>
      <c r="DW39" t="s">
        <v>39</v>
      </c>
      <c r="DX39">
        <v>1000</v>
      </c>
      <c r="EE39">
        <v>33196053</v>
      </c>
      <c r="EF39">
        <v>150</v>
      </c>
      <c r="EG39" t="s">
        <v>71</v>
      </c>
      <c r="EH39">
        <v>0</v>
      </c>
      <c r="EI39" t="s">
        <v>3</v>
      </c>
      <c r="EJ39">
        <v>4</v>
      </c>
      <c r="EK39">
        <v>1113</v>
      </c>
      <c r="EL39" t="s">
        <v>82</v>
      </c>
      <c r="EM39" t="s">
        <v>83</v>
      </c>
      <c r="EO39" t="s">
        <v>3</v>
      </c>
      <c r="EQ39">
        <v>256</v>
      </c>
      <c r="ER39">
        <v>58.32</v>
      </c>
      <c r="ES39">
        <v>0</v>
      </c>
      <c r="ET39">
        <v>58.32</v>
      </c>
      <c r="EU39">
        <v>0</v>
      </c>
      <c r="EV39">
        <v>0</v>
      </c>
      <c r="EW39">
        <v>0</v>
      </c>
      <c r="EX39">
        <v>0</v>
      </c>
      <c r="EY39">
        <v>0</v>
      </c>
      <c r="FQ39">
        <v>0</v>
      </c>
      <c r="FR39">
        <f t="shared" si="40"/>
        <v>0</v>
      </c>
      <c r="FS39">
        <v>0</v>
      </c>
      <c r="FX39">
        <v>0</v>
      </c>
      <c r="FY39">
        <v>0</v>
      </c>
      <c r="GA39" t="s">
        <v>3</v>
      </c>
      <c r="GD39">
        <v>0</v>
      </c>
      <c r="GF39">
        <v>1267817562</v>
      </c>
      <c r="GG39">
        <v>2</v>
      </c>
      <c r="GH39">
        <v>1</v>
      </c>
      <c r="GI39">
        <v>2</v>
      </c>
      <c r="GJ39">
        <v>0</v>
      </c>
      <c r="GK39">
        <f>ROUND(R39*(R12)/100,2)</f>
        <v>0</v>
      </c>
      <c r="GL39">
        <f t="shared" si="41"/>
        <v>0</v>
      </c>
      <c r="GM39">
        <f t="shared" si="42"/>
        <v>82271.03</v>
      </c>
      <c r="GN39">
        <f t="shared" si="43"/>
        <v>0</v>
      </c>
      <c r="GO39">
        <f t="shared" si="44"/>
        <v>0</v>
      </c>
      <c r="GP39">
        <f t="shared" si="45"/>
        <v>82271.03</v>
      </c>
      <c r="GR39">
        <v>0</v>
      </c>
      <c r="GT39">
        <v>0</v>
      </c>
      <c r="GU39">
        <v>1</v>
      </c>
      <c r="GV39">
        <v>0</v>
      </c>
      <c r="GW39">
        <v>0</v>
      </c>
    </row>
    <row r="40" spans="1:205" x14ac:dyDescent="0.2">
      <c r="A40">
        <v>17</v>
      </c>
      <c r="B40">
        <v>1</v>
      </c>
      <c r="E40" t="s">
        <v>84</v>
      </c>
      <c r="F40" t="s">
        <v>85</v>
      </c>
      <c r="G40" t="s">
        <v>86</v>
      </c>
      <c r="H40" t="s">
        <v>39</v>
      </c>
      <c r="I40">
        <f>ROUND(I39,9)</f>
        <v>185.12899999999999</v>
      </c>
      <c r="J40">
        <v>0</v>
      </c>
      <c r="O40">
        <f t="shared" si="15"/>
        <v>37583.040000000001</v>
      </c>
      <c r="P40">
        <f t="shared" si="16"/>
        <v>0</v>
      </c>
      <c r="Q40">
        <f t="shared" si="17"/>
        <v>37583.040000000001</v>
      </c>
      <c r="R40">
        <f t="shared" si="18"/>
        <v>0</v>
      </c>
      <c r="S40">
        <f t="shared" si="19"/>
        <v>0</v>
      </c>
      <c r="T40">
        <f t="shared" si="20"/>
        <v>0</v>
      </c>
      <c r="U40">
        <f t="shared" si="21"/>
        <v>0</v>
      </c>
      <c r="V40">
        <f t="shared" si="22"/>
        <v>0</v>
      </c>
      <c r="W40">
        <f t="shared" si="23"/>
        <v>0</v>
      </c>
      <c r="X40">
        <f t="shared" si="24"/>
        <v>0</v>
      </c>
      <c r="Y40">
        <f t="shared" si="25"/>
        <v>0</v>
      </c>
      <c r="AA40">
        <v>90163004</v>
      </c>
      <c r="AB40">
        <f t="shared" si="26"/>
        <v>101</v>
      </c>
      <c r="AC40">
        <f t="shared" si="48"/>
        <v>0</v>
      </c>
      <c r="AD40">
        <f t="shared" si="50"/>
        <v>101</v>
      </c>
      <c r="AE40">
        <f t="shared" si="50"/>
        <v>0</v>
      </c>
      <c r="AF40">
        <f t="shared" si="50"/>
        <v>0</v>
      </c>
      <c r="AG40">
        <f t="shared" si="27"/>
        <v>0</v>
      </c>
      <c r="AH40">
        <f t="shared" si="51"/>
        <v>0</v>
      </c>
      <c r="AI40">
        <f t="shared" si="51"/>
        <v>0</v>
      </c>
      <c r="AJ40">
        <f t="shared" si="28"/>
        <v>0</v>
      </c>
      <c r="AK40">
        <v>101</v>
      </c>
      <c r="AL40">
        <v>0</v>
      </c>
      <c r="AM40">
        <v>101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1</v>
      </c>
      <c r="AW40">
        <v>1</v>
      </c>
      <c r="AZ40">
        <v>1</v>
      </c>
      <c r="BA40">
        <v>17.46</v>
      </c>
      <c r="BB40">
        <v>2.0099999999999998</v>
      </c>
      <c r="BC40">
        <v>1</v>
      </c>
      <c r="BD40" t="s">
        <v>3</v>
      </c>
      <c r="BE40" t="s">
        <v>3</v>
      </c>
      <c r="BF40" t="s">
        <v>3</v>
      </c>
      <c r="BG40" t="s">
        <v>3</v>
      </c>
      <c r="BH40">
        <v>0</v>
      </c>
      <c r="BI40">
        <v>4</v>
      </c>
      <c r="BJ40" t="s">
        <v>87</v>
      </c>
      <c r="BM40">
        <v>1110</v>
      </c>
      <c r="BN40">
        <v>0</v>
      </c>
      <c r="BO40" t="s">
        <v>85</v>
      </c>
      <c r="BP40">
        <v>1</v>
      </c>
      <c r="BQ40">
        <v>150</v>
      </c>
      <c r="BR40">
        <v>0</v>
      </c>
      <c r="BS40">
        <v>17.46</v>
      </c>
      <c r="BT40">
        <v>1</v>
      </c>
      <c r="BU40">
        <v>1</v>
      </c>
      <c r="BV40">
        <v>1</v>
      </c>
      <c r="BW40">
        <v>1</v>
      </c>
      <c r="BX40">
        <v>1</v>
      </c>
      <c r="BY40" t="s">
        <v>3</v>
      </c>
      <c r="BZ40">
        <v>0</v>
      </c>
      <c r="CA40">
        <v>0</v>
      </c>
      <c r="CF40">
        <v>0</v>
      </c>
      <c r="CG40">
        <v>0</v>
      </c>
      <c r="CM40">
        <v>0</v>
      </c>
      <c r="CN40" t="s">
        <v>3</v>
      </c>
      <c r="CO40">
        <v>0</v>
      </c>
      <c r="CP40">
        <f t="shared" si="29"/>
        <v>37583.040000000001</v>
      </c>
      <c r="CQ40">
        <f t="shared" si="30"/>
        <v>0</v>
      </c>
      <c r="CR40">
        <f t="shared" si="31"/>
        <v>203.01</v>
      </c>
      <c r="CS40">
        <f t="shared" si="32"/>
        <v>0</v>
      </c>
      <c r="CT40">
        <f t="shared" si="33"/>
        <v>0</v>
      </c>
      <c r="CU40">
        <f t="shared" si="34"/>
        <v>0</v>
      </c>
      <c r="CV40">
        <f t="shared" si="35"/>
        <v>0</v>
      </c>
      <c r="CW40">
        <f t="shared" si="36"/>
        <v>0</v>
      </c>
      <c r="CX40">
        <f t="shared" si="37"/>
        <v>0</v>
      </c>
      <c r="CY40">
        <f t="shared" si="38"/>
        <v>0</v>
      </c>
      <c r="CZ40">
        <f t="shared" si="39"/>
        <v>0</v>
      </c>
      <c r="DC40" t="s">
        <v>3</v>
      </c>
      <c r="DD40" t="s">
        <v>3</v>
      </c>
      <c r="DE40" t="s">
        <v>3</v>
      </c>
      <c r="DF40" t="s">
        <v>3</v>
      </c>
      <c r="DG40" t="s">
        <v>3</v>
      </c>
      <c r="DH40" t="s">
        <v>3</v>
      </c>
      <c r="DI40" t="s">
        <v>3</v>
      </c>
      <c r="DJ40" t="s">
        <v>3</v>
      </c>
      <c r="DK40" t="s">
        <v>3</v>
      </c>
      <c r="DL40" t="s">
        <v>3</v>
      </c>
      <c r="DM40" t="s">
        <v>3</v>
      </c>
      <c r="DN40">
        <v>0</v>
      </c>
      <c r="DO40">
        <v>0</v>
      </c>
      <c r="DP40">
        <v>1</v>
      </c>
      <c r="DQ40">
        <v>1</v>
      </c>
      <c r="DU40">
        <v>1009</v>
      </c>
      <c r="DV40" t="s">
        <v>39</v>
      </c>
      <c r="DW40" t="s">
        <v>39</v>
      </c>
      <c r="DX40">
        <v>1000</v>
      </c>
      <c r="EE40">
        <v>33196043</v>
      </c>
      <c r="EF40">
        <v>150</v>
      </c>
      <c r="EG40" t="s">
        <v>71</v>
      </c>
      <c r="EH40">
        <v>0</v>
      </c>
      <c r="EI40" t="s">
        <v>3</v>
      </c>
      <c r="EJ40">
        <v>4</v>
      </c>
      <c r="EK40">
        <v>1110</v>
      </c>
      <c r="EL40" t="s">
        <v>88</v>
      </c>
      <c r="EM40" t="s">
        <v>89</v>
      </c>
      <c r="EO40" t="s">
        <v>3</v>
      </c>
      <c r="EQ40">
        <v>256</v>
      </c>
      <c r="ER40">
        <v>101</v>
      </c>
      <c r="ES40">
        <v>0</v>
      </c>
      <c r="ET40">
        <v>101</v>
      </c>
      <c r="EU40">
        <v>0</v>
      </c>
      <c r="EV40">
        <v>0</v>
      </c>
      <c r="EW40">
        <v>0</v>
      </c>
      <c r="EX40">
        <v>0</v>
      </c>
      <c r="EY40">
        <v>0</v>
      </c>
      <c r="FQ40">
        <v>0</v>
      </c>
      <c r="FR40">
        <f t="shared" si="40"/>
        <v>0</v>
      </c>
      <c r="FS40">
        <v>0</v>
      </c>
      <c r="FX40">
        <v>0</v>
      </c>
      <c r="FY40">
        <v>0</v>
      </c>
      <c r="GA40" t="s">
        <v>3</v>
      </c>
      <c r="GD40">
        <v>0</v>
      </c>
      <c r="GF40">
        <v>684198422</v>
      </c>
      <c r="GG40">
        <v>2</v>
      </c>
      <c r="GH40">
        <v>1</v>
      </c>
      <c r="GI40">
        <v>2</v>
      </c>
      <c r="GJ40">
        <v>0</v>
      </c>
      <c r="GK40">
        <f>ROUND(R40*(R12)/100,2)</f>
        <v>0</v>
      </c>
      <c r="GL40">
        <f t="shared" si="41"/>
        <v>0</v>
      </c>
      <c r="GM40">
        <f t="shared" si="42"/>
        <v>37583.040000000001</v>
      </c>
      <c r="GN40">
        <f t="shared" si="43"/>
        <v>0</v>
      </c>
      <c r="GO40">
        <f t="shared" si="44"/>
        <v>0</v>
      </c>
      <c r="GP40">
        <f t="shared" si="45"/>
        <v>37583.040000000001</v>
      </c>
      <c r="GR40">
        <v>0</v>
      </c>
      <c r="GT40">
        <v>0</v>
      </c>
      <c r="GU40">
        <v>1</v>
      </c>
      <c r="GV40">
        <v>0</v>
      </c>
      <c r="GW40">
        <v>0</v>
      </c>
    </row>
    <row r="42" spans="1:205" x14ac:dyDescent="0.2">
      <c r="A42" s="2">
        <v>51</v>
      </c>
      <c r="B42" s="2">
        <f>B24</f>
        <v>1</v>
      </c>
      <c r="C42" s="2">
        <f>A24</f>
        <v>4</v>
      </c>
      <c r="D42" s="2">
        <f>ROW(A24)</f>
        <v>24</v>
      </c>
      <c r="E42" s="2"/>
      <c r="F42" s="2" t="str">
        <f>IF(F24&lt;&gt;"",F24,"")</f>
        <v>Новый раздел</v>
      </c>
      <c r="G42" s="2" t="str">
        <f>IF(G24&lt;&gt;"",G24,"")</f>
        <v>Тепловая сеть 2Ду80 ППУ-ПЭ в непроходном канале - 50 п.м</v>
      </c>
      <c r="H42" s="2"/>
      <c r="I42" s="2"/>
      <c r="J42" s="2"/>
      <c r="K42" s="2"/>
      <c r="L42" s="2"/>
      <c r="M42" s="2"/>
      <c r="N42" s="2"/>
      <c r="O42" s="2">
        <f t="shared" ref="O42:T42" si="52">ROUND(AB42,2)</f>
        <v>5082438.7699999996</v>
      </c>
      <c r="P42" s="2">
        <f t="shared" si="52"/>
        <v>2111601.29</v>
      </c>
      <c r="Q42" s="2">
        <f t="shared" si="52"/>
        <v>1381340.32</v>
      </c>
      <c r="R42" s="2">
        <f t="shared" si="52"/>
        <v>21612.92</v>
      </c>
      <c r="S42" s="2">
        <f t="shared" si="52"/>
        <v>1589497.16</v>
      </c>
      <c r="T42" s="2">
        <f t="shared" si="52"/>
        <v>0</v>
      </c>
      <c r="U42" s="2">
        <f>AH42</f>
        <v>334.50723546720002</v>
      </c>
      <c r="V42" s="2">
        <f>AI42</f>
        <v>0</v>
      </c>
      <c r="W42" s="2">
        <f>ROUND(AJ42,2)</f>
        <v>582.85</v>
      </c>
      <c r="X42" s="2">
        <f>ROUND(AK42,2)</f>
        <v>93804.92</v>
      </c>
      <c r="Y42" s="2">
        <f>ROUND(AL42,2)</f>
        <v>47808.49</v>
      </c>
      <c r="Z42" s="2"/>
      <c r="AA42" s="2"/>
      <c r="AB42" s="2">
        <f>ROUND(SUMIF(AA28:AA40,"=90163004",O28:O40),2)</f>
        <v>5082438.7699999996</v>
      </c>
      <c r="AC42" s="2">
        <f>ROUND(SUMIF(AA28:AA40,"=90163004",P28:P40),2)</f>
        <v>2111601.29</v>
      </c>
      <c r="AD42" s="2">
        <f>ROUND(SUMIF(AA28:AA40,"=90163004",Q28:Q40),2)</f>
        <v>1381340.32</v>
      </c>
      <c r="AE42" s="2">
        <f>ROUND(SUMIF(AA28:AA40,"=90163004",R28:R40),2)</f>
        <v>21612.92</v>
      </c>
      <c r="AF42" s="2">
        <f>ROUND(SUMIF(AA28:AA40,"=90163004",S28:S40),2)</f>
        <v>1589497.16</v>
      </c>
      <c r="AG42" s="2">
        <f>ROUND(SUMIF(AA28:AA40,"=90163004",T28:T40),2)</f>
        <v>0</v>
      </c>
      <c r="AH42" s="2">
        <f>SUMIF(AA28:AA40,"=90163004",U28:U40)</f>
        <v>334.50723546720002</v>
      </c>
      <c r="AI42" s="2">
        <f>SUMIF(AA28:AA40,"=90163004",V28:V40)</f>
        <v>0</v>
      </c>
      <c r="AJ42" s="2">
        <f>ROUND(SUMIF(AA28:AA40,"=90163004",W28:W40),2)</f>
        <v>582.85</v>
      </c>
      <c r="AK42" s="2">
        <f>ROUND(SUMIF(AA28:AA40,"=90163004",X28:X40),2)</f>
        <v>93804.92</v>
      </c>
      <c r="AL42" s="2">
        <f>ROUND(SUMIF(AA28:AA40,"=90163004",Y28:Y40),2)</f>
        <v>47808.49</v>
      </c>
      <c r="AM42" s="2"/>
      <c r="AN42" s="2"/>
      <c r="AO42" s="2">
        <f t="shared" ref="AO42:AZ42" si="53">ROUND(BB42,2)</f>
        <v>0</v>
      </c>
      <c r="AP42" s="2">
        <f t="shared" si="53"/>
        <v>0</v>
      </c>
      <c r="AQ42" s="2">
        <f t="shared" si="53"/>
        <v>0</v>
      </c>
      <c r="AR42" s="2">
        <f t="shared" si="53"/>
        <v>5260145.76</v>
      </c>
      <c r="AS42" s="2">
        <f t="shared" si="53"/>
        <v>4756626.46</v>
      </c>
      <c r="AT42" s="2">
        <f t="shared" si="53"/>
        <v>0</v>
      </c>
      <c r="AU42" s="2">
        <f t="shared" si="53"/>
        <v>503519.3</v>
      </c>
      <c r="AV42" s="2">
        <f t="shared" si="53"/>
        <v>2111601.29</v>
      </c>
      <c r="AW42" s="2">
        <f t="shared" si="53"/>
        <v>2111601.29</v>
      </c>
      <c r="AX42" s="2">
        <f t="shared" si="53"/>
        <v>0</v>
      </c>
      <c r="AY42" s="2">
        <f t="shared" si="53"/>
        <v>2111601.29</v>
      </c>
      <c r="AZ42" s="2">
        <f t="shared" si="53"/>
        <v>0</v>
      </c>
      <c r="BA42" s="2"/>
      <c r="BB42" s="2">
        <f>ROUND(SUMIF(AA28:AA40,"=90163004",FQ28:FQ40),2)</f>
        <v>0</v>
      </c>
      <c r="BC42" s="2">
        <f>ROUND(SUMIF(AA28:AA40,"=90163004",FR28:FR40),2)</f>
        <v>0</v>
      </c>
      <c r="BD42" s="2">
        <f>ROUND(SUMIF(AA28:AA40,"=90163004",GL28:GL40),2)</f>
        <v>0</v>
      </c>
      <c r="BE42" s="2">
        <f>ROUND(SUMIF(AA28:AA40,"=90163004",GM28:GM40),2)</f>
        <v>5260145.76</v>
      </c>
      <c r="BF42" s="2">
        <f>ROUND(SUMIF(AA28:AA40,"=90163004",GN28:GN40),2)</f>
        <v>4756626.46</v>
      </c>
      <c r="BG42" s="2">
        <f>ROUND(SUMIF(AA28:AA40,"=90163004",GO28:GO40),2)</f>
        <v>0</v>
      </c>
      <c r="BH42" s="2">
        <f>ROUND(SUMIF(AA28:AA40,"=90163004",GP28:GP40),2)</f>
        <v>503519.3</v>
      </c>
      <c r="BI42" s="2">
        <f>AC42-BB42</f>
        <v>2111601.29</v>
      </c>
      <c r="BJ42" s="2">
        <f>AC42-BC42</f>
        <v>2111601.29</v>
      </c>
      <c r="BK42" s="2">
        <f>BB42-BD42</f>
        <v>0</v>
      </c>
      <c r="BL42" s="2">
        <f>AC42-BB42-BC42+BD42</f>
        <v>2111601.29</v>
      </c>
      <c r="BM42" s="2">
        <f>BC42-BD42</f>
        <v>0</v>
      </c>
      <c r="BN42" s="2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>
        <v>0</v>
      </c>
    </row>
    <row r="44" spans="1:205" x14ac:dyDescent="0.2">
      <c r="A44" s="4">
        <v>50</v>
      </c>
      <c r="B44" s="4">
        <v>0</v>
      </c>
      <c r="C44" s="4">
        <v>0</v>
      </c>
      <c r="D44" s="4">
        <v>1</v>
      </c>
      <c r="E44" s="4">
        <v>201</v>
      </c>
      <c r="F44" s="4">
        <f>ROUND(Source!O42,O44)</f>
        <v>5082438.7699999996</v>
      </c>
      <c r="G44" s="4" t="s">
        <v>90</v>
      </c>
      <c r="H44" s="4" t="s">
        <v>91</v>
      </c>
      <c r="I44" s="4"/>
      <c r="J44" s="4"/>
      <c r="K44" s="4">
        <v>201</v>
      </c>
      <c r="L44" s="4">
        <v>1</v>
      </c>
      <c r="M44" s="4">
        <v>3</v>
      </c>
      <c r="N44" s="4" t="s">
        <v>3</v>
      </c>
      <c r="O44" s="4">
        <v>2</v>
      </c>
      <c r="P44" s="4"/>
    </row>
    <row r="45" spans="1:205" x14ac:dyDescent="0.2">
      <c r="A45" s="4">
        <v>50</v>
      </c>
      <c r="B45" s="4">
        <v>0</v>
      </c>
      <c r="C45" s="4">
        <v>0</v>
      </c>
      <c r="D45" s="4">
        <v>1</v>
      </c>
      <c r="E45" s="4">
        <v>202</v>
      </c>
      <c r="F45" s="4">
        <f>ROUND(Source!P42,O45)</f>
        <v>2111601.29</v>
      </c>
      <c r="G45" s="4" t="s">
        <v>92</v>
      </c>
      <c r="H45" s="4" t="s">
        <v>93</v>
      </c>
      <c r="I45" s="4"/>
      <c r="J45" s="4"/>
      <c r="K45" s="4">
        <v>202</v>
      </c>
      <c r="L45" s="4">
        <v>2</v>
      </c>
      <c r="M45" s="4">
        <v>3</v>
      </c>
      <c r="N45" s="4" t="s">
        <v>3</v>
      </c>
      <c r="O45" s="4">
        <v>2</v>
      </c>
      <c r="P45" s="4"/>
    </row>
    <row r="46" spans="1:205" x14ac:dyDescent="0.2">
      <c r="A46" s="4">
        <v>50</v>
      </c>
      <c r="B46" s="4">
        <v>0</v>
      </c>
      <c r="C46" s="4">
        <v>0</v>
      </c>
      <c r="D46" s="4">
        <v>1</v>
      </c>
      <c r="E46" s="4">
        <v>222</v>
      </c>
      <c r="F46" s="4">
        <f>ROUND(Source!AO42,O46)</f>
        <v>0</v>
      </c>
      <c r="G46" s="4" t="s">
        <v>94</v>
      </c>
      <c r="H46" s="4" t="s">
        <v>95</v>
      </c>
      <c r="I46" s="4"/>
      <c r="J46" s="4"/>
      <c r="K46" s="4">
        <v>222</v>
      </c>
      <c r="L46" s="4">
        <v>3</v>
      </c>
      <c r="M46" s="4">
        <v>3</v>
      </c>
      <c r="N46" s="4" t="s">
        <v>3</v>
      </c>
      <c r="O46" s="4">
        <v>2</v>
      </c>
      <c r="P46" s="4"/>
    </row>
    <row r="47" spans="1:205" x14ac:dyDescent="0.2">
      <c r="A47" s="4">
        <v>50</v>
      </c>
      <c r="B47" s="4">
        <v>0</v>
      </c>
      <c r="C47" s="4">
        <v>0</v>
      </c>
      <c r="D47" s="4">
        <v>1</v>
      </c>
      <c r="E47" s="4">
        <v>225</v>
      </c>
      <c r="F47" s="4">
        <f>ROUND(Source!AV42,O47)</f>
        <v>2111601.29</v>
      </c>
      <c r="G47" s="4" t="s">
        <v>96</v>
      </c>
      <c r="H47" s="4" t="s">
        <v>97</v>
      </c>
      <c r="I47" s="4"/>
      <c r="J47" s="4"/>
      <c r="K47" s="4">
        <v>225</v>
      </c>
      <c r="L47" s="4">
        <v>4</v>
      </c>
      <c r="M47" s="4">
        <v>3</v>
      </c>
      <c r="N47" s="4" t="s">
        <v>3</v>
      </c>
      <c r="O47" s="4">
        <v>2</v>
      </c>
      <c r="P47" s="4"/>
    </row>
    <row r="48" spans="1:205" x14ac:dyDescent="0.2">
      <c r="A48" s="4">
        <v>50</v>
      </c>
      <c r="B48" s="4">
        <v>0</v>
      </c>
      <c r="C48" s="4">
        <v>0</v>
      </c>
      <c r="D48" s="4">
        <v>1</v>
      </c>
      <c r="E48" s="4">
        <v>226</v>
      </c>
      <c r="F48" s="4">
        <f>ROUND(Source!AW42,O48)</f>
        <v>2111601.29</v>
      </c>
      <c r="G48" s="4" t="s">
        <v>98</v>
      </c>
      <c r="H48" s="4" t="s">
        <v>99</v>
      </c>
      <c r="I48" s="4"/>
      <c r="J48" s="4"/>
      <c r="K48" s="4">
        <v>226</v>
      </c>
      <c r="L48" s="4">
        <v>5</v>
      </c>
      <c r="M48" s="4">
        <v>3</v>
      </c>
      <c r="N48" s="4" t="s">
        <v>3</v>
      </c>
      <c r="O48" s="4">
        <v>2</v>
      </c>
      <c r="P48" s="4"/>
    </row>
    <row r="49" spans="1:16" x14ac:dyDescent="0.2">
      <c r="A49" s="4">
        <v>50</v>
      </c>
      <c r="B49" s="4">
        <v>0</v>
      </c>
      <c r="C49" s="4">
        <v>0</v>
      </c>
      <c r="D49" s="4">
        <v>1</v>
      </c>
      <c r="E49" s="4">
        <v>227</v>
      </c>
      <c r="F49" s="4">
        <f>ROUND(Source!AX42,O49)</f>
        <v>0</v>
      </c>
      <c r="G49" s="4" t="s">
        <v>100</v>
      </c>
      <c r="H49" s="4" t="s">
        <v>101</v>
      </c>
      <c r="I49" s="4"/>
      <c r="J49" s="4"/>
      <c r="K49" s="4">
        <v>227</v>
      </c>
      <c r="L49" s="4">
        <v>6</v>
      </c>
      <c r="M49" s="4">
        <v>3</v>
      </c>
      <c r="N49" s="4" t="s">
        <v>3</v>
      </c>
      <c r="O49" s="4">
        <v>2</v>
      </c>
      <c r="P49" s="4"/>
    </row>
    <row r="50" spans="1:16" x14ac:dyDescent="0.2">
      <c r="A50" s="4">
        <v>50</v>
      </c>
      <c r="B50" s="4">
        <v>0</v>
      </c>
      <c r="C50" s="4">
        <v>0</v>
      </c>
      <c r="D50" s="4">
        <v>1</v>
      </c>
      <c r="E50" s="4">
        <v>228</v>
      </c>
      <c r="F50" s="4">
        <f>ROUND(Source!AY42,O50)</f>
        <v>2111601.29</v>
      </c>
      <c r="G50" s="4" t="s">
        <v>102</v>
      </c>
      <c r="H50" s="4" t="s">
        <v>103</v>
      </c>
      <c r="I50" s="4"/>
      <c r="J50" s="4"/>
      <c r="K50" s="4">
        <v>228</v>
      </c>
      <c r="L50" s="4">
        <v>7</v>
      </c>
      <c r="M50" s="4">
        <v>3</v>
      </c>
      <c r="N50" s="4" t="s">
        <v>3</v>
      </c>
      <c r="O50" s="4">
        <v>2</v>
      </c>
      <c r="P50" s="4"/>
    </row>
    <row r="51" spans="1:16" x14ac:dyDescent="0.2">
      <c r="A51" s="4">
        <v>50</v>
      </c>
      <c r="B51" s="4">
        <v>0</v>
      </c>
      <c r="C51" s="4">
        <v>0</v>
      </c>
      <c r="D51" s="4">
        <v>1</v>
      </c>
      <c r="E51" s="4">
        <v>216</v>
      </c>
      <c r="F51" s="4">
        <f>ROUND(Source!AP42,O51)</f>
        <v>0</v>
      </c>
      <c r="G51" s="4" t="s">
        <v>104</v>
      </c>
      <c r="H51" s="4" t="s">
        <v>105</v>
      </c>
      <c r="I51" s="4"/>
      <c r="J51" s="4"/>
      <c r="K51" s="4">
        <v>216</v>
      </c>
      <c r="L51" s="4">
        <v>8</v>
      </c>
      <c r="M51" s="4">
        <v>3</v>
      </c>
      <c r="N51" s="4" t="s">
        <v>3</v>
      </c>
      <c r="O51" s="4">
        <v>2</v>
      </c>
      <c r="P51" s="4"/>
    </row>
    <row r="52" spans="1:16" x14ac:dyDescent="0.2">
      <c r="A52" s="4">
        <v>50</v>
      </c>
      <c r="B52" s="4">
        <v>0</v>
      </c>
      <c r="C52" s="4">
        <v>0</v>
      </c>
      <c r="D52" s="4">
        <v>1</v>
      </c>
      <c r="E52" s="4">
        <v>223</v>
      </c>
      <c r="F52" s="4">
        <f>ROUND(Source!AQ42,O52)</f>
        <v>0</v>
      </c>
      <c r="G52" s="4" t="s">
        <v>106</v>
      </c>
      <c r="H52" s="4" t="s">
        <v>107</v>
      </c>
      <c r="I52" s="4"/>
      <c r="J52" s="4"/>
      <c r="K52" s="4">
        <v>223</v>
      </c>
      <c r="L52" s="4">
        <v>9</v>
      </c>
      <c r="M52" s="4">
        <v>3</v>
      </c>
      <c r="N52" s="4" t="s">
        <v>3</v>
      </c>
      <c r="O52" s="4">
        <v>2</v>
      </c>
      <c r="P52" s="4"/>
    </row>
    <row r="53" spans="1:16" x14ac:dyDescent="0.2">
      <c r="A53" s="4">
        <v>50</v>
      </c>
      <c r="B53" s="4">
        <v>0</v>
      </c>
      <c r="C53" s="4">
        <v>0</v>
      </c>
      <c r="D53" s="4">
        <v>1</v>
      </c>
      <c r="E53" s="4">
        <v>229</v>
      </c>
      <c r="F53" s="4">
        <f>ROUND(Source!AZ42,O53)</f>
        <v>0</v>
      </c>
      <c r="G53" s="4" t="s">
        <v>108</v>
      </c>
      <c r="H53" s="4" t="s">
        <v>109</v>
      </c>
      <c r="I53" s="4"/>
      <c r="J53" s="4"/>
      <c r="K53" s="4">
        <v>229</v>
      </c>
      <c r="L53" s="4">
        <v>10</v>
      </c>
      <c r="M53" s="4">
        <v>3</v>
      </c>
      <c r="N53" s="4" t="s">
        <v>3</v>
      </c>
      <c r="O53" s="4">
        <v>2</v>
      </c>
      <c r="P53" s="4"/>
    </row>
    <row r="54" spans="1:16" x14ac:dyDescent="0.2">
      <c r="A54" s="4">
        <v>50</v>
      </c>
      <c r="B54" s="4">
        <v>0</v>
      </c>
      <c r="C54" s="4">
        <v>0</v>
      </c>
      <c r="D54" s="4">
        <v>1</v>
      </c>
      <c r="E54" s="4">
        <v>203</v>
      </c>
      <c r="F54" s="4">
        <f>ROUND(Source!Q42,O54)</f>
        <v>1381340.32</v>
      </c>
      <c r="G54" s="4" t="s">
        <v>110</v>
      </c>
      <c r="H54" s="4" t="s">
        <v>111</v>
      </c>
      <c r="I54" s="4"/>
      <c r="J54" s="4"/>
      <c r="K54" s="4">
        <v>203</v>
      </c>
      <c r="L54" s="4">
        <v>11</v>
      </c>
      <c r="M54" s="4">
        <v>3</v>
      </c>
      <c r="N54" s="4" t="s">
        <v>3</v>
      </c>
      <c r="O54" s="4">
        <v>2</v>
      </c>
      <c r="P54" s="4"/>
    </row>
    <row r="55" spans="1:16" x14ac:dyDescent="0.2">
      <c r="A55" s="4">
        <v>50</v>
      </c>
      <c r="B55" s="4">
        <v>0</v>
      </c>
      <c r="C55" s="4">
        <v>0</v>
      </c>
      <c r="D55" s="4">
        <v>1</v>
      </c>
      <c r="E55" s="4">
        <v>204</v>
      </c>
      <c r="F55" s="4">
        <f>ROUND(Source!R42,O55)</f>
        <v>21612.92</v>
      </c>
      <c r="G55" s="4" t="s">
        <v>112</v>
      </c>
      <c r="H55" s="4" t="s">
        <v>113</v>
      </c>
      <c r="I55" s="4"/>
      <c r="J55" s="4"/>
      <c r="K55" s="4">
        <v>204</v>
      </c>
      <c r="L55" s="4">
        <v>12</v>
      </c>
      <c r="M55" s="4">
        <v>3</v>
      </c>
      <c r="N55" s="4" t="s">
        <v>3</v>
      </c>
      <c r="O55" s="4">
        <v>2</v>
      </c>
      <c r="P55" s="4"/>
    </row>
    <row r="56" spans="1:16" x14ac:dyDescent="0.2">
      <c r="A56" s="4">
        <v>50</v>
      </c>
      <c r="B56" s="4">
        <v>0</v>
      </c>
      <c r="C56" s="4">
        <v>0</v>
      </c>
      <c r="D56" s="4">
        <v>1</v>
      </c>
      <c r="E56" s="4">
        <v>205</v>
      </c>
      <c r="F56" s="4">
        <f>ROUND(Source!S42,O56)</f>
        <v>1589497.16</v>
      </c>
      <c r="G56" s="4" t="s">
        <v>114</v>
      </c>
      <c r="H56" s="4" t="s">
        <v>115</v>
      </c>
      <c r="I56" s="4"/>
      <c r="J56" s="4"/>
      <c r="K56" s="4">
        <v>205</v>
      </c>
      <c r="L56" s="4">
        <v>13</v>
      </c>
      <c r="M56" s="4">
        <v>3</v>
      </c>
      <c r="N56" s="4" t="s">
        <v>3</v>
      </c>
      <c r="O56" s="4">
        <v>2</v>
      </c>
      <c r="P56" s="4"/>
    </row>
    <row r="57" spans="1:16" x14ac:dyDescent="0.2">
      <c r="A57" s="4">
        <v>50</v>
      </c>
      <c r="B57" s="4">
        <v>0</v>
      </c>
      <c r="C57" s="4">
        <v>0</v>
      </c>
      <c r="D57" s="4">
        <v>1</v>
      </c>
      <c r="E57" s="4">
        <v>214</v>
      </c>
      <c r="F57" s="4">
        <f>ROUND(Source!AS42,O57)</f>
        <v>4756626.46</v>
      </c>
      <c r="G57" s="4" t="s">
        <v>116</v>
      </c>
      <c r="H57" s="4" t="s">
        <v>117</v>
      </c>
      <c r="I57" s="4"/>
      <c r="J57" s="4"/>
      <c r="K57" s="4">
        <v>214</v>
      </c>
      <c r="L57" s="4">
        <v>14</v>
      </c>
      <c r="M57" s="4">
        <v>3</v>
      </c>
      <c r="N57" s="4" t="s">
        <v>3</v>
      </c>
      <c r="O57" s="4">
        <v>2</v>
      </c>
      <c r="P57" s="4"/>
    </row>
    <row r="58" spans="1:16" x14ac:dyDescent="0.2">
      <c r="A58" s="4">
        <v>50</v>
      </c>
      <c r="B58" s="4">
        <v>0</v>
      </c>
      <c r="C58" s="4">
        <v>0</v>
      </c>
      <c r="D58" s="4">
        <v>1</v>
      </c>
      <c r="E58" s="4">
        <v>215</v>
      </c>
      <c r="F58" s="4">
        <f>ROUND(Source!AT42,O58)</f>
        <v>0</v>
      </c>
      <c r="G58" s="4" t="s">
        <v>118</v>
      </c>
      <c r="H58" s="4" t="s">
        <v>119</v>
      </c>
      <c r="I58" s="4"/>
      <c r="J58" s="4"/>
      <c r="K58" s="4">
        <v>215</v>
      </c>
      <c r="L58" s="4">
        <v>15</v>
      </c>
      <c r="M58" s="4">
        <v>3</v>
      </c>
      <c r="N58" s="4" t="s">
        <v>3</v>
      </c>
      <c r="O58" s="4">
        <v>2</v>
      </c>
      <c r="P58" s="4"/>
    </row>
    <row r="59" spans="1:16" x14ac:dyDescent="0.2">
      <c r="A59" s="4">
        <v>50</v>
      </c>
      <c r="B59" s="4">
        <v>0</v>
      </c>
      <c r="C59" s="4">
        <v>0</v>
      </c>
      <c r="D59" s="4">
        <v>1</v>
      </c>
      <c r="E59" s="4">
        <v>217</v>
      </c>
      <c r="F59" s="4">
        <f>ROUND(Source!AU42,O59)</f>
        <v>503519.3</v>
      </c>
      <c r="G59" s="4" t="s">
        <v>120</v>
      </c>
      <c r="H59" s="4" t="s">
        <v>121</v>
      </c>
      <c r="I59" s="4"/>
      <c r="J59" s="4"/>
      <c r="K59" s="4">
        <v>217</v>
      </c>
      <c r="L59" s="4">
        <v>16</v>
      </c>
      <c r="M59" s="4">
        <v>3</v>
      </c>
      <c r="N59" s="4" t="s">
        <v>3</v>
      </c>
      <c r="O59" s="4">
        <v>2</v>
      </c>
      <c r="P59" s="4"/>
    </row>
    <row r="60" spans="1:16" x14ac:dyDescent="0.2">
      <c r="A60" s="4">
        <v>50</v>
      </c>
      <c r="B60" s="4">
        <v>0</v>
      </c>
      <c r="C60" s="4">
        <v>0</v>
      </c>
      <c r="D60" s="4">
        <v>1</v>
      </c>
      <c r="E60" s="4">
        <v>206</v>
      </c>
      <c r="F60" s="4">
        <f>ROUND(Source!T42,O60)</f>
        <v>0</v>
      </c>
      <c r="G60" s="4" t="s">
        <v>122</v>
      </c>
      <c r="H60" s="4" t="s">
        <v>123</v>
      </c>
      <c r="I60" s="4"/>
      <c r="J60" s="4"/>
      <c r="K60" s="4">
        <v>206</v>
      </c>
      <c r="L60" s="4">
        <v>17</v>
      </c>
      <c r="M60" s="4">
        <v>3</v>
      </c>
      <c r="N60" s="4" t="s">
        <v>3</v>
      </c>
      <c r="O60" s="4">
        <v>2</v>
      </c>
      <c r="P60" s="4"/>
    </row>
    <row r="61" spans="1:16" x14ac:dyDescent="0.2">
      <c r="A61" s="4">
        <v>50</v>
      </c>
      <c r="B61" s="4">
        <v>0</v>
      </c>
      <c r="C61" s="4">
        <v>0</v>
      </c>
      <c r="D61" s="4">
        <v>1</v>
      </c>
      <c r="E61" s="4">
        <v>207</v>
      </c>
      <c r="F61" s="4">
        <f>Source!U42</f>
        <v>334.50723546720002</v>
      </c>
      <c r="G61" s="4" t="s">
        <v>124</v>
      </c>
      <c r="H61" s="4" t="s">
        <v>125</v>
      </c>
      <c r="I61" s="4"/>
      <c r="J61" s="4"/>
      <c r="K61" s="4">
        <v>207</v>
      </c>
      <c r="L61" s="4">
        <v>18</v>
      </c>
      <c r="M61" s="4">
        <v>3</v>
      </c>
      <c r="N61" s="4" t="s">
        <v>3</v>
      </c>
      <c r="O61" s="4">
        <v>-1</v>
      </c>
      <c r="P61" s="4"/>
    </row>
    <row r="62" spans="1:16" x14ac:dyDescent="0.2">
      <c r="A62" s="4">
        <v>50</v>
      </c>
      <c r="B62" s="4">
        <v>0</v>
      </c>
      <c r="C62" s="4">
        <v>0</v>
      </c>
      <c r="D62" s="4">
        <v>1</v>
      </c>
      <c r="E62" s="4">
        <v>208</v>
      </c>
      <c r="F62" s="4">
        <f>Source!V42</f>
        <v>0</v>
      </c>
      <c r="G62" s="4" t="s">
        <v>126</v>
      </c>
      <c r="H62" s="4" t="s">
        <v>127</v>
      </c>
      <c r="I62" s="4"/>
      <c r="J62" s="4"/>
      <c r="K62" s="4">
        <v>208</v>
      </c>
      <c r="L62" s="4">
        <v>19</v>
      </c>
      <c r="M62" s="4">
        <v>3</v>
      </c>
      <c r="N62" s="4" t="s">
        <v>3</v>
      </c>
      <c r="O62" s="4">
        <v>-1</v>
      </c>
      <c r="P62" s="4"/>
    </row>
    <row r="63" spans="1:16" x14ac:dyDescent="0.2">
      <c r="A63" s="4">
        <v>50</v>
      </c>
      <c r="B63" s="4">
        <v>0</v>
      </c>
      <c r="C63" s="4">
        <v>0</v>
      </c>
      <c r="D63" s="4">
        <v>1</v>
      </c>
      <c r="E63" s="4">
        <v>209</v>
      </c>
      <c r="F63" s="4">
        <f>ROUND(Source!W42,O63)</f>
        <v>582.85</v>
      </c>
      <c r="G63" s="4" t="s">
        <v>128</v>
      </c>
      <c r="H63" s="4" t="s">
        <v>129</v>
      </c>
      <c r="I63" s="4"/>
      <c r="J63" s="4"/>
      <c r="K63" s="4">
        <v>209</v>
      </c>
      <c r="L63" s="4">
        <v>20</v>
      </c>
      <c r="M63" s="4">
        <v>3</v>
      </c>
      <c r="N63" s="4" t="s">
        <v>3</v>
      </c>
      <c r="O63" s="4">
        <v>2</v>
      </c>
      <c r="P63" s="4"/>
    </row>
    <row r="64" spans="1:16" x14ac:dyDescent="0.2">
      <c r="A64" s="4">
        <v>50</v>
      </c>
      <c r="B64" s="4">
        <v>0</v>
      </c>
      <c r="C64" s="4">
        <v>0</v>
      </c>
      <c r="D64" s="4">
        <v>1</v>
      </c>
      <c r="E64" s="4">
        <v>210</v>
      </c>
      <c r="F64" s="4">
        <f>ROUND(Source!X42,O64)</f>
        <v>93804.92</v>
      </c>
      <c r="G64" s="4" t="s">
        <v>130</v>
      </c>
      <c r="H64" s="4" t="s">
        <v>131</v>
      </c>
      <c r="I64" s="4"/>
      <c r="J64" s="4"/>
      <c r="K64" s="4">
        <v>210</v>
      </c>
      <c r="L64" s="4">
        <v>21</v>
      </c>
      <c r="M64" s="4">
        <v>3</v>
      </c>
      <c r="N64" s="4" t="s">
        <v>3</v>
      </c>
      <c r="O64" s="4">
        <v>2</v>
      </c>
      <c r="P64" s="4"/>
    </row>
    <row r="65" spans="1:205" x14ac:dyDescent="0.2">
      <c r="A65" s="4">
        <v>50</v>
      </c>
      <c r="B65" s="4">
        <v>0</v>
      </c>
      <c r="C65" s="4">
        <v>0</v>
      </c>
      <c r="D65" s="4">
        <v>1</v>
      </c>
      <c r="E65" s="4">
        <v>211</v>
      </c>
      <c r="F65" s="4">
        <f>ROUND(Source!Y42,O65)</f>
        <v>47808.49</v>
      </c>
      <c r="G65" s="4" t="s">
        <v>132</v>
      </c>
      <c r="H65" s="4" t="s">
        <v>133</v>
      </c>
      <c r="I65" s="4"/>
      <c r="J65" s="4"/>
      <c r="K65" s="4">
        <v>211</v>
      </c>
      <c r="L65" s="4">
        <v>22</v>
      </c>
      <c r="M65" s="4">
        <v>3</v>
      </c>
      <c r="N65" s="4" t="s">
        <v>3</v>
      </c>
      <c r="O65" s="4">
        <v>2</v>
      </c>
      <c r="P65" s="4"/>
    </row>
    <row r="66" spans="1:205" x14ac:dyDescent="0.2">
      <c r="A66" s="4">
        <v>50</v>
      </c>
      <c r="B66" s="4">
        <v>0</v>
      </c>
      <c r="C66" s="4">
        <v>0</v>
      </c>
      <c r="D66" s="4">
        <v>1</v>
      </c>
      <c r="E66" s="4">
        <v>224</v>
      </c>
      <c r="F66" s="4">
        <f>ROUND(Source!AR42,O66)</f>
        <v>5260145.76</v>
      </c>
      <c r="G66" s="4" t="s">
        <v>134</v>
      </c>
      <c r="H66" s="4" t="s">
        <v>135</v>
      </c>
      <c r="I66" s="4"/>
      <c r="J66" s="4"/>
      <c r="K66" s="4">
        <v>224</v>
      </c>
      <c r="L66" s="4">
        <v>23</v>
      </c>
      <c r="M66" s="4">
        <v>3</v>
      </c>
      <c r="N66" s="4" t="s">
        <v>3</v>
      </c>
      <c r="O66" s="4">
        <v>2</v>
      </c>
      <c r="P66" s="4"/>
    </row>
    <row r="68" spans="1:205" x14ac:dyDescent="0.2">
      <c r="A68" s="1">
        <v>4</v>
      </c>
      <c r="B68" s="1">
        <v>1</v>
      </c>
      <c r="C68" s="1"/>
      <c r="D68" s="1">
        <f>ROW(A84)</f>
        <v>84</v>
      </c>
      <c r="E68" s="1"/>
      <c r="F68" s="1" t="s">
        <v>13</v>
      </c>
      <c r="G68" s="1" t="s">
        <v>136</v>
      </c>
      <c r="H68" s="1" t="s">
        <v>3</v>
      </c>
      <c r="I68" s="1">
        <v>0</v>
      </c>
      <c r="J68" s="1"/>
      <c r="K68" s="1">
        <v>-1</v>
      </c>
      <c r="L68" s="1"/>
      <c r="M68" s="1"/>
      <c r="N68" s="1"/>
      <c r="O68" s="1"/>
      <c r="P68" s="1"/>
      <c r="Q68" s="1"/>
      <c r="R68" s="1"/>
      <c r="S68" s="1"/>
      <c r="T68" s="1"/>
      <c r="U68" s="1" t="s">
        <v>3</v>
      </c>
      <c r="V68" s="1">
        <v>0</v>
      </c>
      <c r="W68" s="1"/>
      <c r="X68" s="1"/>
      <c r="Y68" s="1"/>
      <c r="Z68" s="1"/>
      <c r="AA68" s="1"/>
      <c r="AB68" s="1" t="s">
        <v>3</v>
      </c>
      <c r="AC68" s="1" t="s">
        <v>3</v>
      </c>
      <c r="AD68" s="1" t="s">
        <v>3</v>
      </c>
      <c r="AE68" s="1" t="s">
        <v>3</v>
      </c>
      <c r="AF68" s="1" t="s">
        <v>3</v>
      </c>
      <c r="AG68" s="1" t="s">
        <v>3</v>
      </c>
      <c r="AH68" s="1"/>
      <c r="AI68" s="1"/>
      <c r="AJ68" s="1"/>
      <c r="AK68" s="1"/>
      <c r="AL68" s="1"/>
      <c r="AM68" s="1"/>
      <c r="AN68" s="1"/>
      <c r="AO68" s="1"/>
      <c r="AP68" s="1" t="s">
        <v>3</v>
      </c>
      <c r="AQ68" s="1" t="s">
        <v>3</v>
      </c>
      <c r="AR68" s="1" t="s">
        <v>3</v>
      </c>
      <c r="AS68" s="1"/>
      <c r="AT68" s="1"/>
      <c r="AU68" s="1"/>
      <c r="AV68" s="1"/>
      <c r="AW68" s="1"/>
      <c r="AX68" s="1"/>
      <c r="AY68" s="1"/>
      <c r="AZ68" s="1" t="s">
        <v>3</v>
      </c>
      <c r="BA68" s="1"/>
      <c r="BB68" s="1" t="s">
        <v>3</v>
      </c>
      <c r="BC68" s="1" t="s">
        <v>3</v>
      </c>
      <c r="BD68" s="1" t="s">
        <v>3</v>
      </c>
      <c r="BE68" s="1" t="s">
        <v>3</v>
      </c>
      <c r="BF68" s="1" t="s">
        <v>3</v>
      </c>
      <c r="BG68" s="1" t="s">
        <v>3</v>
      </c>
      <c r="BH68" s="1" t="s">
        <v>3</v>
      </c>
      <c r="BI68" s="1" t="s">
        <v>3</v>
      </c>
      <c r="BJ68" s="1" t="s">
        <v>3</v>
      </c>
      <c r="BK68" s="1" t="s">
        <v>3</v>
      </c>
      <c r="BL68" s="1" t="s">
        <v>3</v>
      </c>
      <c r="BM68" s="1" t="s">
        <v>3</v>
      </c>
      <c r="BN68" s="1" t="s">
        <v>3</v>
      </c>
      <c r="BO68" s="1" t="s">
        <v>3</v>
      </c>
      <c r="BP68" s="1" t="s">
        <v>3</v>
      </c>
      <c r="BQ68" s="1"/>
      <c r="BR68" s="1"/>
      <c r="BS68" s="1"/>
      <c r="BT68" s="1"/>
      <c r="BU68" s="1"/>
      <c r="BV68" s="1"/>
      <c r="BW68" s="1"/>
      <c r="BX68" s="1">
        <v>0</v>
      </c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>
        <v>0</v>
      </c>
    </row>
    <row r="70" spans="1:205" x14ac:dyDescent="0.2">
      <c r="A70" s="2">
        <v>52</v>
      </c>
      <c r="B70" s="2">
        <f t="shared" ref="B70:G70" si="54">B84</f>
        <v>1</v>
      </c>
      <c r="C70" s="2">
        <f t="shared" si="54"/>
        <v>4</v>
      </c>
      <c r="D70" s="2">
        <f t="shared" si="54"/>
        <v>68</v>
      </c>
      <c r="E70" s="2">
        <f t="shared" si="54"/>
        <v>0</v>
      </c>
      <c r="F70" s="2" t="str">
        <f t="shared" si="54"/>
        <v>Новый раздел</v>
      </c>
      <c r="G70" s="2" t="str">
        <f t="shared" si="54"/>
        <v>Тепловая сеть 2Ду80 ППУ-ПЭ бесканально - 60 п.м</v>
      </c>
      <c r="H70" s="2"/>
      <c r="I70" s="2"/>
      <c r="J70" s="2"/>
      <c r="K70" s="2"/>
      <c r="L70" s="2"/>
      <c r="M70" s="2"/>
      <c r="N70" s="2"/>
      <c r="O70" s="2">
        <f t="shared" ref="O70:AT70" si="55">O84</f>
        <v>2227899.85</v>
      </c>
      <c r="P70" s="2">
        <f t="shared" si="55"/>
        <v>983181.11</v>
      </c>
      <c r="Q70" s="2">
        <f t="shared" si="55"/>
        <v>382554.37</v>
      </c>
      <c r="R70" s="2">
        <f t="shared" si="55"/>
        <v>8687.1</v>
      </c>
      <c r="S70" s="2">
        <f t="shared" si="55"/>
        <v>862164.37</v>
      </c>
      <c r="T70" s="2">
        <f t="shared" si="55"/>
        <v>0</v>
      </c>
      <c r="U70" s="2">
        <f t="shared" si="55"/>
        <v>57.354546086399999</v>
      </c>
      <c r="V70" s="2">
        <f t="shared" si="55"/>
        <v>0</v>
      </c>
      <c r="W70" s="2">
        <f t="shared" si="55"/>
        <v>172.55</v>
      </c>
      <c r="X70" s="2">
        <f t="shared" si="55"/>
        <v>18578.990000000002</v>
      </c>
      <c r="Y70" s="2">
        <f t="shared" si="55"/>
        <v>9476.7000000000007</v>
      </c>
      <c r="Z70" s="2">
        <f t="shared" si="55"/>
        <v>0</v>
      </c>
      <c r="AA70" s="2">
        <f t="shared" si="55"/>
        <v>0</v>
      </c>
      <c r="AB70" s="2">
        <f t="shared" si="55"/>
        <v>2227899.85</v>
      </c>
      <c r="AC70" s="2">
        <f t="shared" si="55"/>
        <v>983181.11</v>
      </c>
      <c r="AD70" s="2">
        <f t="shared" si="55"/>
        <v>382554.37</v>
      </c>
      <c r="AE70" s="2">
        <f t="shared" si="55"/>
        <v>8687.1</v>
      </c>
      <c r="AF70" s="2">
        <f t="shared" si="55"/>
        <v>862164.37</v>
      </c>
      <c r="AG70" s="2">
        <f t="shared" si="55"/>
        <v>0</v>
      </c>
      <c r="AH70" s="2">
        <f t="shared" si="55"/>
        <v>57.354546086399999</v>
      </c>
      <c r="AI70" s="2">
        <f t="shared" si="55"/>
        <v>0</v>
      </c>
      <c r="AJ70" s="2">
        <f t="shared" si="55"/>
        <v>172.55</v>
      </c>
      <c r="AK70" s="2">
        <f t="shared" si="55"/>
        <v>18578.990000000002</v>
      </c>
      <c r="AL70" s="2">
        <f t="shared" si="55"/>
        <v>9476.7000000000007</v>
      </c>
      <c r="AM70" s="2">
        <f t="shared" si="55"/>
        <v>0</v>
      </c>
      <c r="AN70" s="2">
        <f t="shared" si="55"/>
        <v>0</v>
      </c>
      <c r="AO70" s="2">
        <f t="shared" si="55"/>
        <v>0</v>
      </c>
      <c r="AP70" s="2">
        <f t="shared" si="55"/>
        <v>0</v>
      </c>
      <c r="AQ70" s="2">
        <f t="shared" si="55"/>
        <v>0</v>
      </c>
      <c r="AR70" s="2">
        <f t="shared" si="55"/>
        <v>2270463</v>
      </c>
      <c r="AS70" s="2">
        <f t="shared" si="55"/>
        <v>2151009.71</v>
      </c>
      <c r="AT70" s="2">
        <f t="shared" si="55"/>
        <v>0</v>
      </c>
      <c r="AU70" s="2">
        <f t="shared" ref="AU70:BZ70" si="56">AU84</f>
        <v>119453.29</v>
      </c>
      <c r="AV70" s="2">
        <f t="shared" si="56"/>
        <v>983181.11</v>
      </c>
      <c r="AW70" s="2">
        <f t="shared" si="56"/>
        <v>983181.11</v>
      </c>
      <c r="AX70" s="2">
        <f t="shared" si="56"/>
        <v>0</v>
      </c>
      <c r="AY70" s="2">
        <f t="shared" si="56"/>
        <v>983181.11</v>
      </c>
      <c r="AZ70" s="2">
        <f t="shared" si="56"/>
        <v>0</v>
      </c>
      <c r="BA70" s="2">
        <f t="shared" si="56"/>
        <v>0</v>
      </c>
      <c r="BB70" s="2">
        <f t="shared" si="56"/>
        <v>0</v>
      </c>
      <c r="BC70" s="2">
        <f t="shared" si="56"/>
        <v>0</v>
      </c>
      <c r="BD70" s="2">
        <f t="shared" si="56"/>
        <v>0</v>
      </c>
      <c r="BE70" s="2">
        <f t="shared" si="56"/>
        <v>2270463</v>
      </c>
      <c r="BF70" s="2">
        <f t="shared" si="56"/>
        <v>2151009.71</v>
      </c>
      <c r="BG70" s="2">
        <f t="shared" si="56"/>
        <v>0</v>
      </c>
      <c r="BH70" s="2">
        <f t="shared" si="56"/>
        <v>119453.29</v>
      </c>
      <c r="BI70" s="2">
        <f t="shared" si="56"/>
        <v>983181.11</v>
      </c>
      <c r="BJ70" s="2">
        <f t="shared" si="56"/>
        <v>983181.11</v>
      </c>
      <c r="BK70" s="2">
        <f t="shared" si="56"/>
        <v>0</v>
      </c>
      <c r="BL70" s="2">
        <f t="shared" si="56"/>
        <v>983181.11</v>
      </c>
      <c r="BM70" s="2">
        <f t="shared" si="56"/>
        <v>0</v>
      </c>
      <c r="BN70" s="2">
        <f t="shared" si="56"/>
        <v>0</v>
      </c>
      <c r="BO70" s="3">
        <f t="shared" si="56"/>
        <v>0</v>
      </c>
      <c r="BP70" s="3">
        <f t="shared" si="56"/>
        <v>0</v>
      </c>
      <c r="BQ70" s="3">
        <f t="shared" si="56"/>
        <v>0</v>
      </c>
      <c r="BR70" s="3">
        <f t="shared" si="56"/>
        <v>0</v>
      </c>
      <c r="BS70" s="3">
        <f t="shared" si="56"/>
        <v>0</v>
      </c>
      <c r="BT70" s="3">
        <f t="shared" si="56"/>
        <v>0</v>
      </c>
      <c r="BU70" s="3">
        <f t="shared" si="56"/>
        <v>0</v>
      </c>
      <c r="BV70" s="3">
        <f t="shared" si="56"/>
        <v>0</v>
      </c>
      <c r="BW70" s="3">
        <f t="shared" si="56"/>
        <v>0</v>
      </c>
      <c r="BX70" s="3">
        <f t="shared" si="56"/>
        <v>0</v>
      </c>
      <c r="BY70" s="3">
        <f t="shared" si="56"/>
        <v>0</v>
      </c>
      <c r="BZ70" s="3">
        <f t="shared" si="56"/>
        <v>0</v>
      </c>
      <c r="CA70" s="3">
        <f t="shared" ref="CA70:DF70" si="57">CA84</f>
        <v>0</v>
      </c>
      <c r="CB70" s="3">
        <f t="shared" si="57"/>
        <v>0</v>
      </c>
      <c r="CC70" s="3">
        <f t="shared" si="57"/>
        <v>0</v>
      </c>
      <c r="CD70" s="3">
        <f t="shared" si="57"/>
        <v>0</v>
      </c>
      <c r="CE70" s="3">
        <f t="shared" si="57"/>
        <v>0</v>
      </c>
      <c r="CF70" s="3">
        <f t="shared" si="57"/>
        <v>0</v>
      </c>
      <c r="CG70" s="3">
        <f t="shared" si="57"/>
        <v>0</v>
      </c>
      <c r="CH70" s="3">
        <f t="shared" si="57"/>
        <v>0</v>
      </c>
      <c r="CI70" s="3">
        <f t="shared" si="57"/>
        <v>0</v>
      </c>
      <c r="CJ70" s="3">
        <f t="shared" si="57"/>
        <v>0</v>
      </c>
      <c r="CK70" s="3">
        <f t="shared" si="57"/>
        <v>0</v>
      </c>
      <c r="CL70" s="3">
        <f t="shared" si="57"/>
        <v>0</v>
      </c>
      <c r="CM70" s="3">
        <f t="shared" si="57"/>
        <v>0</v>
      </c>
      <c r="CN70" s="3">
        <f t="shared" si="57"/>
        <v>0</v>
      </c>
      <c r="CO70" s="3">
        <f t="shared" si="57"/>
        <v>0</v>
      </c>
      <c r="CP70" s="3">
        <f t="shared" si="57"/>
        <v>0</v>
      </c>
      <c r="CQ70" s="3">
        <f t="shared" si="57"/>
        <v>0</v>
      </c>
      <c r="CR70" s="3">
        <f t="shared" si="57"/>
        <v>0</v>
      </c>
      <c r="CS70" s="3">
        <f t="shared" si="57"/>
        <v>0</v>
      </c>
      <c r="CT70" s="3">
        <f t="shared" si="57"/>
        <v>0</v>
      </c>
      <c r="CU70" s="3">
        <f t="shared" si="57"/>
        <v>0</v>
      </c>
      <c r="CV70" s="3">
        <f t="shared" si="57"/>
        <v>0</v>
      </c>
      <c r="CW70" s="3">
        <f t="shared" si="57"/>
        <v>0</v>
      </c>
      <c r="CX70" s="3">
        <f t="shared" si="57"/>
        <v>0</v>
      </c>
      <c r="CY70" s="3">
        <f t="shared" si="57"/>
        <v>0</v>
      </c>
      <c r="CZ70" s="3">
        <f t="shared" si="57"/>
        <v>0</v>
      </c>
      <c r="DA70" s="3">
        <f t="shared" si="57"/>
        <v>0</v>
      </c>
      <c r="DB70" s="3">
        <f t="shared" si="57"/>
        <v>0</v>
      </c>
      <c r="DC70" s="3">
        <f t="shared" si="57"/>
        <v>0</v>
      </c>
      <c r="DD70" s="3">
        <f t="shared" si="57"/>
        <v>0</v>
      </c>
      <c r="DE70" s="3">
        <f t="shared" si="57"/>
        <v>0</v>
      </c>
      <c r="DF70" s="3">
        <f t="shared" si="57"/>
        <v>0</v>
      </c>
      <c r="DG70" s="3">
        <f t="shared" ref="DG70:DN70" si="58">DG84</f>
        <v>0</v>
      </c>
      <c r="DH70" s="3">
        <f t="shared" si="58"/>
        <v>0</v>
      </c>
      <c r="DI70" s="3">
        <f t="shared" si="58"/>
        <v>0</v>
      </c>
      <c r="DJ70" s="3">
        <f t="shared" si="58"/>
        <v>0</v>
      </c>
      <c r="DK70" s="3">
        <f t="shared" si="58"/>
        <v>0</v>
      </c>
      <c r="DL70" s="3">
        <f t="shared" si="58"/>
        <v>0</v>
      </c>
      <c r="DM70" s="3">
        <f t="shared" si="58"/>
        <v>0</v>
      </c>
      <c r="DN70" s="3">
        <f t="shared" si="58"/>
        <v>0</v>
      </c>
    </row>
    <row r="72" spans="1:205" x14ac:dyDescent="0.2">
      <c r="A72">
        <v>17</v>
      </c>
      <c r="B72">
        <v>1</v>
      </c>
      <c r="C72">
        <f>ROW(SmtRes!A22)</f>
        <v>22</v>
      </c>
      <c r="D72">
        <f>ROW(EtalonRes!A20)</f>
        <v>20</v>
      </c>
      <c r="E72" t="s">
        <v>137</v>
      </c>
      <c r="F72" t="s">
        <v>138</v>
      </c>
      <c r="G72" t="s">
        <v>139</v>
      </c>
      <c r="H72" t="s">
        <v>18</v>
      </c>
      <c r="I72">
        <v>60</v>
      </c>
      <c r="J72">
        <v>0</v>
      </c>
      <c r="O72">
        <f t="shared" ref="O72:O82" si="59">ROUND(CP72,2)</f>
        <v>1142442.01</v>
      </c>
      <c r="P72">
        <f t="shared" ref="P72:P82" si="60">ROUND(CQ72*I72,2)</f>
        <v>649935.72</v>
      </c>
      <c r="Q72">
        <f t="shared" ref="Q72:Q82" si="61">ROUND(CR72*I72,2)</f>
        <v>83223.72</v>
      </c>
      <c r="R72">
        <f t="shared" ref="R72:R82" si="62">ROUND(CS72*I72,2)</f>
        <v>0</v>
      </c>
      <c r="S72">
        <f t="shared" ref="S72:S82" si="63">ROUND(CT72*I72,2)</f>
        <v>409282.57</v>
      </c>
      <c r="T72">
        <f t="shared" ref="T72:T82" si="64">ROUND(CU72*I72,2)</f>
        <v>0</v>
      </c>
      <c r="U72">
        <f t="shared" ref="U72:U82" si="65">CV72*I72</f>
        <v>0</v>
      </c>
      <c r="V72">
        <f t="shared" ref="V72:V82" si="66">CW72*I72</f>
        <v>0</v>
      </c>
      <c r="W72">
        <f t="shared" ref="W72:W82" si="67">ROUND(CX72*I72,2)</f>
        <v>52.55</v>
      </c>
      <c r="X72">
        <f t="shared" ref="X72:X82" si="68">ROUND(CY72,2)</f>
        <v>0</v>
      </c>
      <c r="Y72">
        <f t="shared" ref="Y72:Y82" si="69">ROUND(CZ72,2)</f>
        <v>0</v>
      </c>
      <c r="AA72">
        <v>90163004</v>
      </c>
      <c r="AB72">
        <f t="shared" ref="AB72:AB82" si="70">ROUND((AC72+AD72+AF72),6)</f>
        <v>3743.4645</v>
      </c>
      <c r="AC72">
        <f>ROUND(((ES72*0.7)),6)</f>
        <v>3103.8</v>
      </c>
      <c r="AD72">
        <f>ROUND(((ET72*1.15*0.74)),6)</f>
        <v>142.11699999999999</v>
      </c>
      <c r="AE72">
        <f>ROUND(((EU72*1.15*0.74)),6)</f>
        <v>0</v>
      </c>
      <c r="AF72">
        <f>ROUND(((EV72*1.15*0.85)),6)</f>
        <v>497.54750000000001</v>
      </c>
      <c r="AG72">
        <f t="shared" ref="AG72:AG82" si="71">ROUND((AP72),6)</f>
        <v>0</v>
      </c>
      <c r="AH72">
        <f>((EW72*1.15*0.85))</f>
        <v>0</v>
      </c>
      <c r="AI72">
        <f>((EX72*1.15*0.74))</f>
        <v>0</v>
      </c>
      <c r="AJ72">
        <f t="shared" ref="AJ72:AJ82" si="72">ROUND((AS72),6)</f>
        <v>0.87580000000000002</v>
      </c>
      <c r="AK72">
        <v>5110</v>
      </c>
      <c r="AL72">
        <v>4434</v>
      </c>
      <c r="AM72">
        <v>167</v>
      </c>
      <c r="AN72">
        <v>0</v>
      </c>
      <c r="AO72">
        <v>509</v>
      </c>
      <c r="AP72">
        <v>0</v>
      </c>
      <c r="AQ72">
        <v>0</v>
      </c>
      <c r="AR72">
        <v>0</v>
      </c>
      <c r="AS72">
        <v>0.87580000000000002</v>
      </c>
      <c r="AT72">
        <v>0</v>
      </c>
      <c r="AU72">
        <v>0</v>
      </c>
      <c r="AV72">
        <v>1</v>
      </c>
      <c r="AW72">
        <v>1</v>
      </c>
      <c r="AZ72">
        <v>1</v>
      </c>
      <c r="BA72">
        <v>13.71</v>
      </c>
      <c r="BB72">
        <v>9.76</v>
      </c>
      <c r="BC72">
        <v>3.49</v>
      </c>
      <c r="BD72" t="s">
        <v>3</v>
      </c>
      <c r="BE72" t="s">
        <v>3</v>
      </c>
      <c r="BF72" t="s">
        <v>3</v>
      </c>
      <c r="BG72" t="s">
        <v>3</v>
      </c>
      <c r="BH72">
        <v>0</v>
      </c>
      <c r="BI72">
        <v>1</v>
      </c>
      <c r="BJ72" t="s">
        <v>140</v>
      </c>
      <c r="BM72">
        <v>1114</v>
      </c>
      <c r="BN72">
        <v>0</v>
      </c>
      <c r="BO72" t="s">
        <v>138</v>
      </c>
      <c r="BP72">
        <v>1</v>
      </c>
      <c r="BQ72">
        <v>160</v>
      </c>
      <c r="BR72">
        <v>0</v>
      </c>
      <c r="BS72">
        <v>13.71</v>
      </c>
      <c r="BT72">
        <v>1</v>
      </c>
      <c r="BU72">
        <v>1</v>
      </c>
      <c r="BV72">
        <v>1</v>
      </c>
      <c r="BW72">
        <v>1</v>
      </c>
      <c r="BX72">
        <v>1</v>
      </c>
      <c r="BY72" t="s">
        <v>3</v>
      </c>
      <c r="BZ72">
        <v>0</v>
      </c>
      <c r="CA72">
        <v>0</v>
      </c>
      <c r="CF72">
        <v>0</v>
      </c>
      <c r="CG72">
        <v>0</v>
      </c>
      <c r="CM72">
        <v>0</v>
      </c>
      <c r="CN72" t="s">
        <v>141</v>
      </c>
      <c r="CO72">
        <v>0</v>
      </c>
      <c r="CP72">
        <f t="shared" ref="CP72:CP82" si="73">(P72+Q72+S72)</f>
        <v>1142442.01</v>
      </c>
      <c r="CQ72">
        <f t="shared" ref="CQ72:CQ82" si="74">(AC72*BC72*AW72)</f>
        <v>10832.262000000001</v>
      </c>
      <c r="CR72">
        <f t="shared" ref="CR72:CR82" si="75">(AD72*BB72*AV72)</f>
        <v>1387.0619199999999</v>
      </c>
      <c r="CS72">
        <f t="shared" ref="CS72:CS82" si="76">(AE72*BS72*AV72)</f>
        <v>0</v>
      </c>
      <c r="CT72">
        <f t="shared" ref="CT72:CT82" si="77">(AF72*BA72*AV72)</f>
        <v>6821.3762250000009</v>
      </c>
      <c r="CU72">
        <f t="shared" ref="CU72:CU82" si="78">AG72</f>
        <v>0</v>
      </c>
      <c r="CV72">
        <f t="shared" ref="CV72:CV82" si="79">(AH72*AV72)</f>
        <v>0</v>
      </c>
      <c r="CW72">
        <f t="shared" ref="CW72:CW82" si="80">AI72</f>
        <v>0</v>
      </c>
      <c r="CX72">
        <f t="shared" ref="CX72:CX82" si="81">AJ72</f>
        <v>0.87580000000000002</v>
      </c>
      <c r="CY72">
        <f t="shared" ref="CY72:CY82" si="82">S72*(BZ72/100)</f>
        <v>0</v>
      </c>
      <c r="CZ72">
        <f t="shared" ref="CZ72:CZ82" si="83">S72*(CA72/100)</f>
        <v>0</v>
      </c>
      <c r="DC72" t="s">
        <v>3</v>
      </c>
      <c r="DD72" t="s">
        <v>142</v>
      </c>
      <c r="DE72" t="s">
        <v>143</v>
      </c>
      <c r="DF72" t="s">
        <v>143</v>
      </c>
      <c r="DG72" t="s">
        <v>144</v>
      </c>
      <c r="DH72" t="s">
        <v>3</v>
      </c>
      <c r="DI72" t="s">
        <v>144</v>
      </c>
      <c r="DJ72" t="s">
        <v>143</v>
      </c>
      <c r="DK72" t="s">
        <v>3</v>
      </c>
      <c r="DL72" t="s">
        <v>3</v>
      </c>
      <c r="DM72" t="s">
        <v>3</v>
      </c>
      <c r="DN72">
        <v>0</v>
      </c>
      <c r="DO72">
        <v>0</v>
      </c>
      <c r="DP72">
        <v>1</v>
      </c>
      <c r="DQ72">
        <v>1</v>
      </c>
      <c r="DU72">
        <v>1003</v>
      </c>
      <c r="DV72" t="s">
        <v>18</v>
      </c>
      <c r="DW72" t="s">
        <v>18</v>
      </c>
      <c r="DX72">
        <v>1</v>
      </c>
      <c r="EE72">
        <v>33196057</v>
      </c>
      <c r="EF72">
        <v>160</v>
      </c>
      <c r="EG72" t="s">
        <v>24</v>
      </c>
      <c r="EH72">
        <v>0</v>
      </c>
      <c r="EI72" t="s">
        <v>3</v>
      </c>
      <c r="EJ72">
        <v>1</v>
      </c>
      <c r="EK72">
        <v>1114</v>
      </c>
      <c r="EL72" t="s">
        <v>25</v>
      </c>
      <c r="EM72" t="s">
        <v>26</v>
      </c>
      <c r="EO72" t="s">
        <v>3</v>
      </c>
      <c r="EQ72">
        <v>256</v>
      </c>
      <c r="ER72">
        <v>5110</v>
      </c>
      <c r="ES72">
        <v>4434</v>
      </c>
      <c r="ET72">
        <v>167</v>
      </c>
      <c r="EU72">
        <v>0</v>
      </c>
      <c r="EV72">
        <v>509</v>
      </c>
      <c r="EW72">
        <v>0</v>
      </c>
      <c r="EX72">
        <v>0</v>
      </c>
      <c r="EY72">
        <v>0</v>
      </c>
      <c r="FQ72">
        <v>0</v>
      </c>
      <c r="FR72">
        <f t="shared" ref="FR72:FR82" si="84">ROUND(IF(AND(BH72=3,BI72=3),P72,0),2)</f>
        <v>0</v>
      </c>
      <c r="FS72">
        <v>0</v>
      </c>
      <c r="FX72">
        <v>0</v>
      </c>
      <c r="FY72">
        <v>0</v>
      </c>
      <c r="GA72" t="s">
        <v>3</v>
      </c>
      <c r="GD72">
        <v>0</v>
      </c>
      <c r="GF72">
        <v>1066360694</v>
      </c>
      <c r="GG72">
        <v>2</v>
      </c>
      <c r="GH72">
        <v>1</v>
      </c>
      <c r="GI72">
        <v>2</v>
      </c>
      <c r="GJ72">
        <v>0</v>
      </c>
      <c r="GK72">
        <f>ROUND(R72*(R12)/100,2)</f>
        <v>0</v>
      </c>
      <c r="GL72">
        <f t="shared" ref="GL72:GL82" si="85">ROUND(IF(AND(BH72=3,BI72=3,FS72&lt;&gt;0),P72,0),2)</f>
        <v>0</v>
      </c>
      <c r="GM72">
        <f t="shared" ref="GM72:GM82" si="86">O72+X72+Y72+GK72</f>
        <v>1142442.01</v>
      </c>
      <c r="GN72">
        <f t="shared" ref="GN72:GN82" si="87">ROUND(IF(OR(BI72=0,BI72=1),O72+X72+Y72+GK72,0),2)</f>
        <v>1142442.01</v>
      </c>
      <c r="GO72">
        <f t="shared" ref="GO72:GO82" si="88">ROUND(IF(BI72=2,O72+X72+Y72+GK72,0),2)</f>
        <v>0</v>
      </c>
      <c r="GP72">
        <f t="shared" ref="GP72:GP82" si="89">ROUND(IF(BI72=4,O72+X72+Y72+GK72,0),2)</f>
        <v>0</v>
      </c>
      <c r="GR72">
        <v>0</v>
      </c>
      <c r="GT72">
        <v>0</v>
      </c>
      <c r="GU72">
        <v>5.61</v>
      </c>
      <c r="GV72">
        <v>-0.87580000000000002</v>
      </c>
      <c r="GW72">
        <v>-1.3999999999999999E-4</v>
      </c>
    </row>
    <row r="73" spans="1:205" x14ac:dyDescent="0.2">
      <c r="A73">
        <v>18</v>
      </c>
      <c r="B73">
        <v>1</v>
      </c>
      <c r="C73">
        <v>21</v>
      </c>
      <c r="E73" t="s">
        <v>145</v>
      </c>
      <c r="F73" t="s">
        <v>37</v>
      </c>
      <c r="G73" t="s">
        <v>38</v>
      </c>
      <c r="H73" t="s">
        <v>39</v>
      </c>
      <c r="I73">
        <f>I72*J73</f>
        <v>-5.8799999999999998E-3</v>
      </c>
      <c r="J73">
        <v>-9.7999999999999997E-5</v>
      </c>
      <c r="O73">
        <f t="shared" si="59"/>
        <v>0</v>
      </c>
      <c r="P73">
        <f t="shared" si="60"/>
        <v>0</v>
      </c>
      <c r="Q73">
        <f t="shared" si="61"/>
        <v>0</v>
      </c>
      <c r="R73">
        <f t="shared" si="62"/>
        <v>0</v>
      </c>
      <c r="S73">
        <f t="shared" si="63"/>
        <v>0</v>
      </c>
      <c r="T73">
        <f t="shared" si="64"/>
        <v>0</v>
      </c>
      <c r="U73">
        <f t="shared" si="65"/>
        <v>0</v>
      </c>
      <c r="V73">
        <f t="shared" si="66"/>
        <v>0</v>
      </c>
      <c r="W73">
        <f t="shared" si="67"/>
        <v>0</v>
      </c>
      <c r="X73">
        <f t="shared" si="68"/>
        <v>0</v>
      </c>
      <c r="Y73">
        <f t="shared" si="69"/>
        <v>0</v>
      </c>
      <c r="AA73">
        <v>90163004</v>
      </c>
      <c r="AB73">
        <f t="shared" si="70"/>
        <v>0</v>
      </c>
      <c r="AC73">
        <f t="shared" ref="AC73:AF74" si="90">ROUND((ES73),6)</f>
        <v>0</v>
      </c>
      <c r="AD73">
        <f t="shared" si="90"/>
        <v>0</v>
      </c>
      <c r="AE73">
        <f t="shared" si="90"/>
        <v>0</v>
      </c>
      <c r="AF73">
        <f t="shared" si="90"/>
        <v>0</v>
      </c>
      <c r="AG73">
        <f t="shared" si="71"/>
        <v>0</v>
      </c>
      <c r="AH73">
        <f>(EW73)</f>
        <v>0</v>
      </c>
      <c r="AI73">
        <f>(EX73)</f>
        <v>0</v>
      </c>
      <c r="AJ73">
        <f t="shared" si="72"/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1</v>
      </c>
      <c r="AW73">
        <v>1</v>
      </c>
      <c r="AZ73">
        <v>1</v>
      </c>
      <c r="BA73">
        <v>1</v>
      </c>
      <c r="BB73">
        <v>1</v>
      </c>
      <c r="BC73">
        <v>1</v>
      </c>
      <c r="BD73" t="s">
        <v>3</v>
      </c>
      <c r="BE73" t="s">
        <v>3</v>
      </c>
      <c r="BF73" t="s">
        <v>3</v>
      </c>
      <c r="BG73" t="s">
        <v>3</v>
      </c>
      <c r="BH73">
        <v>3</v>
      </c>
      <c r="BI73">
        <v>1</v>
      </c>
      <c r="BJ73" t="s">
        <v>3</v>
      </c>
      <c r="BM73">
        <v>1114</v>
      </c>
      <c r="BN73">
        <v>0</v>
      </c>
      <c r="BO73" t="s">
        <v>3</v>
      </c>
      <c r="BP73">
        <v>0</v>
      </c>
      <c r="BQ73">
        <v>160</v>
      </c>
      <c r="BR73">
        <v>1</v>
      </c>
      <c r="BS73">
        <v>1</v>
      </c>
      <c r="BT73">
        <v>1</v>
      </c>
      <c r="BU73">
        <v>1</v>
      </c>
      <c r="BV73">
        <v>1</v>
      </c>
      <c r="BW73">
        <v>1</v>
      </c>
      <c r="BX73">
        <v>1</v>
      </c>
      <c r="BY73" t="s">
        <v>3</v>
      </c>
      <c r="BZ73">
        <v>0</v>
      </c>
      <c r="CA73">
        <v>0</v>
      </c>
      <c r="CF73">
        <v>0</v>
      </c>
      <c r="CG73">
        <v>0</v>
      </c>
      <c r="CM73">
        <v>0</v>
      </c>
      <c r="CN73" t="s">
        <v>3</v>
      </c>
      <c r="CO73">
        <v>0</v>
      </c>
      <c r="CP73">
        <f t="shared" si="73"/>
        <v>0</v>
      </c>
      <c r="CQ73">
        <f t="shared" si="74"/>
        <v>0</v>
      </c>
      <c r="CR73">
        <f t="shared" si="75"/>
        <v>0</v>
      </c>
      <c r="CS73">
        <f t="shared" si="76"/>
        <v>0</v>
      </c>
      <c r="CT73">
        <f t="shared" si="77"/>
        <v>0</v>
      </c>
      <c r="CU73">
        <f t="shared" si="78"/>
        <v>0</v>
      </c>
      <c r="CV73">
        <f t="shared" si="79"/>
        <v>0</v>
      </c>
      <c r="CW73">
        <f t="shared" si="80"/>
        <v>0</v>
      </c>
      <c r="CX73">
        <f t="shared" si="81"/>
        <v>0</v>
      </c>
      <c r="CY73">
        <f t="shared" si="82"/>
        <v>0</v>
      </c>
      <c r="CZ73">
        <f t="shared" si="83"/>
        <v>0</v>
      </c>
      <c r="DC73" t="s">
        <v>3</v>
      </c>
      <c r="DD73" t="s">
        <v>3</v>
      </c>
      <c r="DE73" t="s">
        <v>3</v>
      </c>
      <c r="DF73" t="s">
        <v>3</v>
      </c>
      <c r="DG73" t="s">
        <v>3</v>
      </c>
      <c r="DH73" t="s">
        <v>3</v>
      </c>
      <c r="DI73" t="s">
        <v>3</v>
      </c>
      <c r="DJ73" t="s">
        <v>3</v>
      </c>
      <c r="DK73" t="s">
        <v>3</v>
      </c>
      <c r="DL73" t="s">
        <v>3</v>
      </c>
      <c r="DM73" t="s">
        <v>3</v>
      </c>
      <c r="DN73">
        <v>0</v>
      </c>
      <c r="DO73">
        <v>0</v>
      </c>
      <c r="DP73">
        <v>1</v>
      </c>
      <c r="DQ73">
        <v>1</v>
      </c>
      <c r="DU73">
        <v>1009</v>
      </c>
      <c r="DV73" t="s">
        <v>39</v>
      </c>
      <c r="DW73" t="s">
        <v>39</v>
      </c>
      <c r="DX73">
        <v>1000</v>
      </c>
      <c r="EE73">
        <v>33196057</v>
      </c>
      <c r="EF73">
        <v>160</v>
      </c>
      <c r="EG73" t="s">
        <v>24</v>
      </c>
      <c r="EH73">
        <v>0</v>
      </c>
      <c r="EI73" t="s">
        <v>3</v>
      </c>
      <c r="EJ73">
        <v>1</v>
      </c>
      <c r="EK73">
        <v>1114</v>
      </c>
      <c r="EL73" t="s">
        <v>25</v>
      </c>
      <c r="EM73" t="s">
        <v>26</v>
      </c>
      <c r="EO73" t="s">
        <v>3</v>
      </c>
      <c r="EQ73">
        <v>256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0</v>
      </c>
      <c r="EX73">
        <v>0</v>
      </c>
      <c r="FQ73">
        <v>0</v>
      </c>
      <c r="FR73">
        <f t="shared" si="84"/>
        <v>0</v>
      </c>
      <c r="FS73">
        <v>0</v>
      </c>
      <c r="FX73">
        <v>0</v>
      </c>
      <c r="FY73">
        <v>0</v>
      </c>
      <c r="GA73" t="s">
        <v>3</v>
      </c>
      <c r="GD73">
        <v>0</v>
      </c>
      <c r="GF73">
        <v>-1541367988</v>
      </c>
      <c r="GG73">
        <v>2</v>
      </c>
      <c r="GH73">
        <v>0</v>
      </c>
      <c r="GI73">
        <v>-2</v>
      </c>
      <c r="GJ73">
        <v>0</v>
      </c>
      <c r="GK73">
        <f>ROUND(R73*(R12)/100,2)</f>
        <v>0</v>
      </c>
      <c r="GL73">
        <f t="shared" si="85"/>
        <v>0</v>
      </c>
      <c r="GM73">
        <f t="shared" si="86"/>
        <v>0</v>
      </c>
      <c r="GN73">
        <f t="shared" si="87"/>
        <v>0</v>
      </c>
      <c r="GO73">
        <f t="shared" si="88"/>
        <v>0</v>
      </c>
      <c r="GP73">
        <f t="shared" si="89"/>
        <v>0</v>
      </c>
      <c r="GR73">
        <v>0</v>
      </c>
      <c r="GT73">
        <v>0</v>
      </c>
      <c r="GU73">
        <v>1</v>
      </c>
      <c r="GV73">
        <v>0</v>
      </c>
      <c r="GW73">
        <v>0</v>
      </c>
    </row>
    <row r="74" spans="1:205" x14ac:dyDescent="0.2">
      <c r="A74">
        <v>18</v>
      </c>
      <c r="B74">
        <v>1</v>
      </c>
      <c r="C74">
        <v>22</v>
      </c>
      <c r="E74" t="s">
        <v>146</v>
      </c>
      <c r="F74" t="s">
        <v>37</v>
      </c>
      <c r="G74" t="s">
        <v>41</v>
      </c>
      <c r="H74" t="s">
        <v>30</v>
      </c>
      <c r="I74">
        <f>I72*J74</f>
        <v>-36.7836</v>
      </c>
      <c r="J74">
        <v>-0.61306000000000005</v>
      </c>
      <c r="O74">
        <f t="shared" si="59"/>
        <v>0</v>
      </c>
      <c r="P74">
        <f t="shared" si="60"/>
        <v>0</v>
      </c>
      <c r="Q74">
        <f t="shared" si="61"/>
        <v>0</v>
      </c>
      <c r="R74">
        <f t="shared" si="62"/>
        <v>0</v>
      </c>
      <c r="S74">
        <f t="shared" si="63"/>
        <v>0</v>
      </c>
      <c r="T74">
        <f t="shared" si="64"/>
        <v>0</v>
      </c>
      <c r="U74">
        <f t="shared" si="65"/>
        <v>0</v>
      </c>
      <c r="V74">
        <f t="shared" si="66"/>
        <v>0</v>
      </c>
      <c r="W74">
        <f t="shared" si="67"/>
        <v>0</v>
      </c>
      <c r="X74">
        <f t="shared" si="68"/>
        <v>0</v>
      </c>
      <c r="Y74">
        <f t="shared" si="69"/>
        <v>0</v>
      </c>
      <c r="AA74">
        <v>90163004</v>
      </c>
      <c r="AB74">
        <f t="shared" si="70"/>
        <v>0</v>
      </c>
      <c r="AC74">
        <f t="shared" si="90"/>
        <v>0</v>
      </c>
      <c r="AD74">
        <f t="shared" si="90"/>
        <v>0</v>
      </c>
      <c r="AE74">
        <f t="shared" si="90"/>
        <v>0</v>
      </c>
      <c r="AF74">
        <f t="shared" si="90"/>
        <v>0</v>
      </c>
      <c r="AG74">
        <f t="shared" si="71"/>
        <v>0</v>
      </c>
      <c r="AH74">
        <f>(EW74)</f>
        <v>0</v>
      </c>
      <c r="AI74">
        <f>(EX74)</f>
        <v>0</v>
      </c>
      <c r="AJ74">
        <f t="shared" si="72"/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1</v>
      </c>
      <c r="AW74">
        <v>1</v>
      </c>
      <c r="AZ74">
        <v>1</v>
      </c>
      <c r="BA74">
        <v>1</v>
      </c>
      <c r="BB74">
        <v>1</v>
      </c>
      <c r="BC74">
        <v>1</v>
      </c>
      <c r="BD74" t="s">
        <v>3</v>
      </c>
      <c r="BE74" t="s">
        <v>3</v>
      </c>
      <c r="BF74" t="s">
        <v>3</v>
      </c>
      <c r="BG74" t="s">
        <v>3</v>
      </c>
      <c r="BH74">
        <v>3</v>
      </c>
      <c r="BI74">
        <v>1</v>
      </c>
      <c r="BJ74" t="s">
        <v>3</v>
      </c>
      <c r="BM74">
        <v>1114</v>
      </c>
      <c r="BN74">
        <v>0</v>
      </c>
      <c r="BO74" t="s">
        <v>3</v>
      </c>
      <c r="BP74">
        <v>0</v>
      </c>
      <c r="BQ74">
        <v>160</v>
      </c>
      <c r="BR74">
        <v>1</v>
      </c>
      <c r="BS74">
        <v>1</v>
      </c>
      <c r="BT74">
        <v>1</v>
      </c>
      <c r="BU74">
        <v>1</v>
      </c>
      <c r="BV74">
        <v>1</v>
      </c>
      <c r="BW74">
        <v>1</v>
      </c>
      <c r="BX74">
        <v>1</v>
      </c>
      <c r="BY74" t="s">
        <v>3</v>
      </c>
      <c r="BZ74">
        <v>0</v>
      </c>
      <c r="CA74">
        <v>0</v>
      </c>
      <c r="CF74">
        <v>0</v>
      </c>
      <c r="CG74">
        <v>0</v>
      </c>
      <c r="CM74">
        <v>0</v>
      </c>
      <c r="CN74" t="s">
        <v>3</v>
      </c>
      <c r="CO74">
        <v>0</v>
      </c>
      <c r="CP74">
        <f t="shared" si="73"/>
        <v>0</v>
      </c>
      <c r="CQ74">
        <f t="shared" si="74"/>
        <v>0</v>
      </c>
      <c r="CR74">
        <f t="shared" si="75"/>
        <v>0</v>
      </c>
      <c r="CS74">
        <f t="shared" si="76"/>
        <v>0</v>
      </c>
      <c r="CT74">
        <f t="shared" si="77"/>
        <v>0</v>
      </c>
      <c r="CU74">
        <f t="shared" si="78"/>
        <v>0</v>
      </c>
      <c r="CV74">
        <f t="shared" si="79"/>
        <v>0</v>
      </c>
      <c r="CW74">
        <f t="shared" si="80"/>
        <v>0</v>
      </c>
      <c r="CX74">
        <f t="shared" si="81"/>
        <v>0</v>
      </c>
      <c r="CY74">
        <f t="shared" si="82"/>
        <v>0</v>
      </c>
      <c r="CZ74">
        <f t="shared" si="83"/>
        <v>0</v>
      </c>
      <c r="DC74" t="s">
        <v>3</v>
      </c>
      <c r="DD74" t="s">
        <v>3</v>
      </c>
      <c r="DE74" t="s">
        <v>3</v>
      </c>
      <c r="DF74" t="s">
        <v>3</v>
      </c>
      <c r="DG74" t="s">
        <v>3</v>
      </c>
      <c r="DH74" t="s">
        <v>3</v>
      </c>
      <c r="DI74" t="s">
        <v>3</v>
      </c>
      <c r="DJ74" t="s">
        <v>3</v>
      </c>
      <c r="DK74" t="s">
        <v>3</v>
      </c>
      <c r="DL74" t="s">
        <v>3</v>
      </c>
      <c r="DM74" t="s">
        <v>3</v>
      </c>
      <c r="DN74">
        <v>0</v>
      </c>
      <c r="DO74">
        <v>0</v>
      </c>
      <c r="DP74">
        <v>1</v>
      </c>
      <c r="DQ74">
        <v>1</v>
      </c>
      <c r="DU74">
        <v>1007</v>
      </c>
      <c r="DV74" t="s">
        <v>30</v>
      </c>
      <c r="DW74" t="s">
        <v>30</v>
      </c>
      <c r="DX74">
        <v>1</v>
      </c>
      <c r="EE74">
        <v>33196057</v>
      </c>
      <c r="EF74">
        <v>160</v>
      </c>
      <c r="EG74" t="s">
        <v>24</v>
      </c>
      <c r="EH74">
        <v>0</v>
      </c>
      <c r="EI74" t="s">
        <v>3</v>
      </c>
      <c r="EJ74">
        <v>1</v>
      </c>
      <c r="EK74">
        <v>1114</v>
      </c>
      <c r="EL74" t="s">
        <v>25</v>
      </c>
      <c r="EM74" t="s">
        <v>26</v>
      </c>
      <c r="EO74" t="s">
        <v>3</v>
      </c>
      <c r="EQ74">
        <v>256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0</v>
      </c>
      <c r="EX74">
        <v>0</v>
      </c>
      <c r="FQ74">
        <v>0</v>
      </c>
      <c r="FR74">
        <f t="shared" si="84"/>
        <v>0</v>
      </c>
      <c r="FS74">
        <v>0</v>
      </c>
      <c r="FX74">
        <v>0</v>
      </c>
      <c r="FY74">
        <v>0</v>
      </c>
      <c r="GA74" t="s">
        <v>3</v>
      </c>
      <c r="GD74">
        <v>0</v>
      </c>
      <c r="GF74">
        <v>-589967668</v>
      </c>
      <c r="GG74">
        <v>2</v>
      </c>
      <c r="GH74">
        <v>0</v>
      </c>
      <c r="GI74">
        <v>-2</v>
      </c>
      <c r="GJ74">
        <v>0</v>
      </c>
      <c r="GK74">
        <f>ROUND(R74*(R12)/100,2)</f>
        <v>0</v>
      </c>
      <c r="GL74">
        <f t="shared" si="85"/>
        <v>0</v>
      </c>
      <c r="GM74">
        <f t="shared" si="86"/>
        <v>0</v>
      </c>
      <c r="GN74">
        <f t="shared" si="87"/>
        <v>0</v>
      </c>
      <c r="GO74">
        <f t="shared" si="88"/>
        <v>0</v>
      </c>
      <c r="GP74">
        <f t="shared" si="89"/>
        <v>0</v>
      </c>
      <c r="GR74">
        <v>0</v>
      </c>
      <c r="GT74">
        <v>0</v>
      </c>
      <c r="GU74">
        <v>1</v>
      </c>
      <c r="GV74">
        <v>0</v>
      </c>
      <c r="GW74">
        <v>0</v>
      </c>
    </row>
    <row r="75" spans="1:205" x14ac:dyDescent="0.2">
      <c r="A75">
        <v>17</v>
      </c>
      <c r="B75">
        <v>1</v>
      </c>
      <c r="C75">
        <f>ROW(SmtRes!A25)</f>
        <v>25</v>
      </c>
      <c r="D75">
        <f>ROW(EtalonRes!A23)</f>
        <v>23</v>
      </c>
      <c r="E75" t="s">
        <v>147</v>
      </c>
      <c r="F75" t="s">
        <v>43</v>
      </c>
      <c r="G75" t="s">
        <v>44</v>
      </c>
      <c r="H75" t="s">
        <v>45</v>
      </c>
      <c r="I75">
        <v>16</v>
      </c>
      <c r="J75">
        <v>0</v>
      </c>
      <c r="O75">
        <f t="shared" si="59"/>
        <v>26669.63</v>
      </c>
      <c r="P75">
        <f t="shared" si="60"/>
        <v>2459.39</v>
      </c>
      <c r="Q75">
        <f t="shared" si="61"/>
        <v>8020.33</v>
      </c>
      <c r="R75">
        <f t="shared" si="62"/>
        <v>4103.18</v>
      </c>
      <c r="S75">
        <f t="shared" si="63"/>
        <v>16189.91</v>
      </c>
      <c r="T75">
        <f t="shared" si="64"/>
        <v>0</v>
      </c>
      <c r="U75">
        <f t="shared" si="65"/>
        <v>54.775511999999999</v>
      </c>
      <c r="V75">
        <f t="shared" si="66"/>
        <v>0</v>
      </c>
      <c r="W75">
        <f t="shared" si="67"/>
        <v>0</v>
      </c>
      <c r="X75">
        <f t="shared" si="68"/>
        <v>18132.7</v>
      </c>
      <c r="Y75">
        <f t="shared" si="69"/>
        <v>9228.25</v>
      </c>
      <c r="AA75">
        <v>90163004</v>
      </c>
      <c r="AB75">
        <f t="shared" si="70"/>
        <v>138.62549999999999</v>
      </c>
      <c r="AC75">
        <f t="shared" ref="AC75:AC82" si="91">ROUND((ES75),6)</f>
        <v>32.4</v>
      </c>
      <c r="AD75">
        <f t="shared" ref="AD75:AF76" si="92">ROUND(((ET75*1.15)),6)</f>
        <v>51.911000000000001</v>
      </c>
      <c r="AE75">
        <f t="shared" si="92"/>
        <v>13.765499999999999</v>
      </c>
      <c r="AF75">
        <f t="shared" si="92"/>
        <v>54.314500000000002</v>
      </c>
      <c r="AG75">
        <f t="shared" si="71"/>
        <v>0</v>
      </c>
      <c r="AH75">
        <f>((EW75*1.15))</f>
        <v>3.2084999999999999</v>
      </c>
      <c r="AI75">
        <f>((EX75*1.15))</f>
        <v>0</v>
      </c>
      <c r="AJ75">
        <f t="shared" si="72"/>
        <v>0</v>
      </c>
      <c r="AK75">
        <v>124.77</v>
      </c>
      <c r="AL75">
        <v>32.4</v>
      </c>
      <c r="AM75">
        <v>45.14</v>
      </c>
      <c r="AN75">
        <v>11.97</v>
      </c>
      <c r="AO75">
        <v>47.23</v>
      </c>
      <c r="AP75">
        <v>0</v>
      </c>
      <c r="AQ75">
        <v>2.79</v>
      </c>
      <c r="AR75">
        <v>0</v>
      </c>
      <c r="AS75">
        <v>0</v>
      </c>
      <c r="AT75">
        <v>112</v>
      </c>
      <c r="AU75">
        <v>57</v>
      </c>
      <c r="AV75">
        <v>1.0669999999999999</v>
      </c>
      <c r="AW75">
        <v>1.0029999999999999</v>
      </c>
      <c r="AZ75">
        <v>1</v>
      </c>
      <c r="BA75">
        <v>17.46</v>
      </c>
      <c r="BB75">
        <v>9.0500000000000007</v>
      </c>
      <c r="BC75">
        <v>4.7300000000000004</v>
      </c>
      <c r="BD75" t="s">
        <v>3</v>
      </c>
      <c r="BE75" t="s">
        <v>3</v>
      </c>
      <c r="BF75" t="s">
        <v>3</v>
      </c>
      <c r="BG75" t="s">
        <v>3</v>
      </c>
      <c r="BH75">
        <v>0</v>
      </c>
      <c r="BI75">
        <v>1</v>
      </c>
      <c r="BJ75" t="s">
        <v>46</v>
      </c>
      <c r="BM75">
        <v>142</v>
      </c>
      <c r="BN75">
        <v>0</v>
      </c>
      <c r="BO75" t="s">
        <v>43</v>
      </c>
      <c r="BP75">
        <v>1</v>
      </c>
      <c r="BQ75">
        <v>30</v>
      </c>
      <c r="BR75">
        <v>0</v>
      </c>
      <c r="BS75">
        <v>17.46</v>
      </c>
      <c r="BT75">
        <v>1</v>
      </c>
      <c r="BU75">
        <v>1</v>
      </c>
      <c r="BV75">
        <v>1</v>
      </c>
      <c r="BW75">
        <v>1</v>
      </c>
      <c r="BX75">
        <v>1</v>
      </c>
      <c r="BY75" t="s">
        <v>3</v>
      </c>
      <c r="BZ75">
        <v>112</v>
      </c>
      <c r="CA75">
        <v>57</v>
      </c>
      <c r="CF75">
        <v>0</v>
      </c>
      <c r="CG75">
        <v>0</v>
      </c>
      <c r="CM75">
        <v>0</v>
      </c>
      <c r="CN75" t="s">
        <v>3</v>
      </c>
      <c r="CO75">
        <v>0</v>
      </c>
      <c r="CP75">
        <f t="shared" si="73"/>
        <v>26669.629999999997</v>
      </c>
      <c r="CQ75">
        <f t="shared" si="74"/>
        <v>153.71175599999998</v>
      </c>
      <c r="CR75">
        <f t="shared" si="75"/>
        <v>501.27078485000004</v>
      </c>
      <c r="CS75">
        <f t="shared" si="76"/>
        <v>256.44878720999998</v>
      </c>
      <c r="CT75">
        <f t="shared" si="77"/>
        <v>1011.86935839</v>
      </c>
      <c r="CU75">
        <f t="shared" si="78"/>
        <v>0</v>
      </c>
      <c r="CV75">
        <f t="shared" si="79"/>
        <v>3.4234694999999999</v>
      </c>
      <c r="CW75">
        <f t="shared" si="80"/>
        <v>0</v>
      </c>
      <c r="CX75">
        <f t="shared" si="81"/>
        <v>0</v>
      </c>
      <c r="CY75">
        <f t="shared" si="82"/>
        <v>18132.699200000003</v>
      </c>
      <c r="CZ75">
        <f t="shared" si="83"/>
        <v>9228.2486999999983</v>
      </c>
      <c r="DC75" t="s">
        <v>3</v>
      </c>
      <c r="DD75" t="s">
        <v>3</v>
      </c>
      <c r="DE75" t="s">
        <v>47</v>
      </c>
      <c r="DF75" t="s">
        <v>47</v>
      </c>
      <c r="DG75" t="s">
        <v>47</v>
      </c>
      <c r="DH75" t="s">
        <v>3</v>
      </c>
      <c r="DI75" t="s">
        <v>47</v>
      </c>
      <c r="DJ75" t="s">
        <v>47</v>
      </c>
      <c r="DK75" t="s">
        <v>3</v>
      </c>
      <c r="DL75" t="s">
        <v>3</v>
      </c>
      <c r="DM75" t="s">
        <v>3</v>
      </c>
      <c r="DN75">
        <v>133</v>
      </c>
      <c r="DO75">
        <v>113</v>
      </c>
      <c r="DP75">
        <v>1.0669999999999999</v>
      </c>
      <c r="DQ75">
        <v>1.0029999999999999</v>
      </c>
      <c r="DU75">
        <v>1013</v>
      </c>
      <c r="DV75" t="s">
        <v>45</v>
      </c>
      <c r="DW75" t="s">
        <v>45</v>
      </c>
      <c r="DX75">
        <v>1</v>
      </c>
      <c r="EE75">
        <v>33194062</v>
      </c>
      <c r="EF75">
        <v>30</v>
      </c>
      <c r="EG75" t="s">
        <v>48</v>
      </c>
      <c r="EH75">
        <v>0</v>
      </c>
      <c r="EI75" t="s">
        <v>3</v>
      </c>
      <c r="EJ75">
        <v>1</v>
      </c>
      <c r="EK75">
        <v>142</v>
      </c>
      <c r="EL75" t="s">
        <v>49</v>
      </c>
      <c r="EM75" t="s">
        <v>50</v>
      </c>
      <c r="EO75" t="s">
        <v>3</v>
      </c>
      <c r="EQ75">
        <v>0</v>
      </c>
      <c r="ER75">
        <v>124.77</v>
      </c>
      <c r="ES75">
        <v>32.4</v>
      </c>
      <c r="ET75">
        <v>45.14</v>
      </c>
      <c r="EU75">
        <v>11.97</v>
      </c>
      <c r="EV75">
        <v>47.23</v>
      </c>
      <c r="EW75">
        <v>2.79</v>
      </c>
      <c r="EX75">
        <v>0</v>
      </c>
      <c r="EY75">
        <v>0</v>
      </c>
      <c r="FQ75">
        <v>0</v>
      </c>
      <c r="FR75">
        <f t="shared" si="84"/>
        <v>0</v>
      </c>
      <c r="FS75">
        <v>0</v>
      </c>
      <c r="FX75">
        <v>133</v>
      </c>
      <c r="FY75">
        <v>113</v>
      </c>
      <c r="GA75" t="s">
        <v>3</v>
      </c>
      <c r="GD75">
        <v>0</v>
      </c>
      <c r="GF75">
        <v>594661113</v>
      </c>
      <c r="GG75">
        <v>2</v>
      </c>
      <c r="GH75">
        <v>1</v>
      </c>
      <c r="GI75">
        <v>2</v>
      </c>
      <c r="GJ75">
        <v>0</v>
      </c>
      <c r="GK75">
        <f>ROUND(R75*(R12)/100,2)</f>
        <v>6852.31</v>
      </c>
      <c r="GL75">
        <f t="shared" si="85"/>
        <v>0</v>
      </c>
      <c r="GM75">
        <f t="shared" si="86"/>
        <v>60882.89</v>
      </c>
      <c r="GN75">
        <f t="shared" si="87"/>
        <v>60882.89</v>
      </c>
      <c r="GO75">
        <f t="shared" si="88"/>
        <v>0</v>
      </c>
      <c r="GP75">
        <f t="shared" si="89"/>
        <v>0</v>
      </c>
      <c r="GR75">
        <v>0</v>
      </c>
      <c r="GT75">
        <v>0</v>
      </c>
      <c r="GU75">
        <v>1</v>
      </c>
      <c r="GV75">
        <v>0</v>
      </c>
      <c r="GW75">
        <v>0</v>
      </c>
    </row>
    <row r="76" spans="1:205" x14ac:dyDescent="0.2">
      <c r="A76">
        <v>17</v>
      </c>
      <c r="B76">
        <v>1</v>
      </c>
      <c r="C76">
        <f>ROW(SmtRes!A26)</f>
        <v>26</v>
      </c>
      <c r="D76">
        <f>ROW(EtalonRes!A24)</f>
        <v>24</v>
      </c>
      <c r="E76" t="s">
        <v>148</v>
      </c>
      <c r="F76" t="s">
        <v>149</v>
      </c>
      <c r="G76" t="s">
        <v>150</v>
      </c>
      <c r="H76" t="s">
        <v>151</v>
      </c>
      <c r="I76">
        <f>ROUND(I72*10,9)</f>
        <v>600</v>
      </c>
      <c r="J76">
        <v>0</v>
      </c>
      <c r="O76">
        <f t="shared" si="59"/>
        <v>928270.8</v>
      </c>
      <c r="P76">
        <f t="shared" si="60"/>
        <v>330786</v>
      </c>
      <c r="Q76">
        <f t="shared" si="61"/>
        <v>161253</v>
      </c>
      <c r="R76">
        <f t="shared" si="62"/>
        <v>0</v>
      </c>
      <c r="S76">
        <f t="shared" si="63"/>
        <v>436231.8</v>
      </c>
      <c r="T76">
        <f t="shared" si="64"/>
        <v>0</v>
      </c>
      <c r="U76">
        <f t="shared" si="65"/>
        <v>0</v>
      </c>
      <c r="V76">
        <f t="shared" si="66"/>
        <v>0</v>
      </c>
      <c r="W76">
        <f t="shared" si="67"/>
        <v>120</v>
      </c>
      <c r="X76">
        <f t="shared" si="68"/>
        <v>0</v>
      </c>
      <c r="Y76">
        <f t="shared" si="69"/>
        <v>0</v>
      </c>
      <c r="AA76">
        <v>90163004</v>
      </c>
      <c r="AB76">
        <f t="shared" si="70"/>
        <v>150.65</v>
      </c>
      <c r="AC76">
        <f t="shared" si="91"/>
        <v>69</v>
      </c>
      <c r="AD76">
        <f t="shared" si="92"/>
        <v>34.5</v>
      </c>
      <c r="AE76">
        <f t="shared" si="92"/>
        <v>0</v>
      </c>
      <c r="AF76">
        <f t="shared" si="92"/>
        <v>47.15</v>
      </c>
      <c r="AG76">
        <f t="shared" si="71"/>
        <v>0</v>
      </c>
      <c r="AH76">
        <f>((EW76*1.15))</f>
        <v>0</v>
      </c>
      <c r="AI76">
        <f>((EX76*1.15))</f>
        <v>0</v>
      </c>
      <c r="AJ76">
        <f t="shared" si="72"/>
        <v>0.2</v>
      </c>
      <c r="AK76">
        <v>140</v>
      </c>
      <c r="AL76">
        <v>69</v>
      </c>
      <c r="AM76">
        <v>30</v>
      </c>
      <c r="AN76">
        <v>0</v>
      </c>
      <c r="AO76">
        <v>41</v>
      </c>
      <c r="AP76">
        <v>0</v>
      </c>
      <c r="AQ76">
        <v>0</v>
      </c>
      <c r="AR76">
        <v>0</v>
      </c>
      <c r="AS76">
        <v>0.2</v>
      </c>
      <c r="AT76">
        <v>0</v>
      </c>
      <c r="AU76">
        <v>0</v>
      </c>
      <c r="AV76">
        <v>1</v>
      </c>
      <c r="AW76">
        <v>1</v>
      </c>
      <c r="AZ76">
        <v>1</v>
      </c>
      <c r="BA76">
        <v>15.42</v>
      </c>
      <c r="BB76">
        <v>7.79</v>
      </c>
      <c r="BC76">
        <v>7.99</v>
      </c>
      <c r="BD76" t="s">
        <v>3</v>
      </c>
      <c r="BE76" t="s">
        <v>3</v>
      </c>
      <c r="BF76" t="s">
        <v>3</v>
      </c>
      <c r="BG76" t="s">
        <v>3</v>
      </c>
      <c r="BH76">
        <v>0</v>
      </c>
      <c r="BI76">
        <v>1</v>
      </c>
      <c r="BJ76" t="s">
        <v>152</v>
      </c>
      <c r="BM76">
        <v>1114</v>
      </c>
      <c r="BN76">
        <v>0</v>
      </c>
      <c r="BO76" t="s">
        <v>149</v>
      </c>
      <c r="BP76">
        <v>1</v>
      </c>
      <c r="BQ76">
        <v>160</v>
      </c>
      <c r="BR76">
        <v>0</v>
      </c>
      <c r="BS76">
        <v>15.42</v>
      </c>
      <c r="BT76">
        <v>1</v>
      </c>
      <c r="BU76">
        <v>1</v>
      </c>
      <c r="BV76">
        <v>1</v>
      </c>
      <c r="BW76">
        <v>1</v>
      </c>
      <c r="BX76">
        <v>1</v>
      </c>
      <c r="BY76" t="s">
        <v>3</v>
      </c>
      <c r="BZ76">
        <v>0</v>
      </c>
      <c r="CA76">
        <v>0</v>
      </c>
      <c r="CF76">
        <v>0</v>
      </c>
      <c r="CG76">
        <v>0</v>
      </c>
      <c r="CM76">
        <v>0</v>
      </c>
      <c r="CN76" t="s">
        <v>3</v>
      </c>
      <c r="CO76">
        <v>0</v>
      </c>
      <c r="CP76">
        <f t="shared" si="73"/>
        <v>928270.8</v>
      </c>
      <c r="CQ76">
        <f t="shared" si="74"/>
        <v>551.31000000000006</v>
      </c>
      <c r="CR76">
        <f t="shared" si="75"/>
        <v>268.755</v>
      </c>
      <c r="CS76">
        <f t="shared" si="76"/>
        <v>0</v>
      </c>
      <c r="CT76">
        <f t="shared" si="77"/>
        <v>727.053</v>
      </c>
      <c r="CU76">
        <f t="shared" si="78"/>
        <v>0</v>
      </c>
      <c r="CV76">
        <f t="shared" si="79"/>
        <v>0</v>
      </c>
      <c r="CW76">
        <f t="shared" si="80"/>
        <v>0</v>
      </c>
      <c r="CX76">
        <f t="shared" si="81"/>
        <v>0.2</v>
      </c>
      <c r="CY76">
        <f t="shared" si="82"/>
        <v>0</v>
      </c>
      <c r="CZ76">
        <f t="shared" si="83"/>
        <v>0</v>
      </c>
      <c r="DC76" t="s">
        <v>3</v>
      </c>
      <c r="DD76" t="s">
        <v>3</v>
      </c>
      <c r="DE76" t="s">
        <v>47</v>
      </c>
      <c r="DF76" t="s">
        <v>47</v>
      </c>
      <c r="DG76" t="s">
        <v>47</v>
      </c>
      <c r="DH76" t="s">
        <v>3</v>
      </c>
      <c r="DI76" t="s">
        <v>47</v>
      </c>
      <c r="DJ76" t="s">
        <v>47</v>
      </c>
      <c r="DK76" t="s">
        <v>3</v>
      </c>
      <c r="DL76" t="s">
        <v>3</v>
      </c>
      <c r="DM76" t="s">
        <v>3</v>
      </c>
      <c r="DN76">
        <v>0</v>
      </c>
      <c r="DO76">
        <v>0</v>
      </c>
      <c r="DP76">
        <v>1</v>
      </c>
      <c r="DQ76">
        <v>1</v>
      </c>
      <c r="DU76">
        <v>1005</v>
      </c>
      <c r="DV76" t="s">
        <v>151</v>
      </c>
      <c r="DW76" t="s">
        <v>151</v>
      </c>
      <c r="DX76">
        <v>1</v>
      </c>
      <c r="EE76">
        <v>33196057</v>
      </c>
      <c r="EF76">
        <v>160</v>
      </c>
      <c r="EG76" t="s">
        <v>24</v>
      </c>
      <c r="EH76">
        <v>0</v>
      </c>
      <c r="EI76" t="s">
        <v>3</v>
      </c>
      <c r="EJ76">
        <v>1</v>
      </c>
      <c r="EK76">
        <v>1114</v>
      </c>
      <c r="EL76" t="s">
        <v>25</v>
      </c>
      <c r="EM76" t="s">
        <v>26</v>
      </c>
      <c r="EO76" t="s">
        <v>3</v>
      </c>
      <c r="EQ76">
        <v>0</v>
      </c>
      <c r="ER76">
        <v>140</v>
      </c>
      <c r="ES76">
        <v>69</v>
      </c>
      <c r="ET76">
        <v>30</v>
      </c>
      <c r="EU76">
        <v>0</v>
      </c>
      <c r="EV76">
        <v>41</v>
      </c>
      <c r="EW76">
        <v>0</v>
      </c>
      <c r="EX76">
        <v>0</v>
      </c>
      <c r="EY76">
        <v>0</v>
      </c>
      <c r="FQ76">
        <v>0</v>
      </c>
      <c r="FR76">
        <f t="shared" si="84"/>
        <v>0</v>
      </c>
      <c r="FS76">
        <v>0</v>
      </c>
      <c r="FX76">
        <v>0</v>
      </c>
      <c r="FY76">
        <v>0</v>
      </c>
      <c r="GA76" t="s">
        <v>3</v>
      </c>
      <c r="GD76">
        <v>0</v>
      </c>
      <c r="GF76">
        <v>-1225497977</v>
      </c>
      <c r="GG76">
        <v>2</v>
      </c>
      <c r="GH76">
        <v>1</v>
      </c>
      <c r="GI76">
        <v>2</v>
      </c>
      <c r="GJ76">
        <v>0</v>
      </c>
      <c r="GK76">
        <f>ROUND(R76*(R12)/100,2)</f>
        <v>0</v>
      </c>
      <c r="GL76">
        <f t="shared" si="85"/>
        <v>0</v>
      </c>
      <c r="GM76">
        <f t="shared" si="86"/>
        <v>928270.8</v>
      </c>
      <c r="GN76">
        <f t="shared" si="87"/>
        <v>928270.8</v>
      </c>
      <c r="GO76">
        <f t="shared" si="88"/>
        <v>0</v>
      </c>
      <c r="GP76">
        <f t="shared" si="89"/>
        <v>0</v>
      </c>
      <c r="GR76">
        <v>0</v>
      </c>
      <c r="GT76">
        <v>0</v>
      </c>
      <c r="GU76">
        <v>1</v>
      </c>
      <c r="GV76">
        <v>-0.2</v>
      </c>
      <c r="GW76">
        <v>0</v>
      </c>
    </row>
    <row r="77" spans="1:205" x14ac:dyDescent="0.2">
      <c r="A77">
        <v>18</v>
      </c>
      <c r="B77">
        <v>1</v>
      </c>
      <c r="C77">
        <v>26</v>
      </c>
      <c r="E77" t="s">
        <v>153</v>
      </c>
      <c r="F77" t="s">
        <v>37</v>
      </c>
      <c r="G77" t="s">
        <v>41</v>
      </c>
      <c r="H77" t="s">
        <v>30</v>
      </c>
      <c r="I77">
        <f>I76*J77</f>
        <v>-120</v>
      </c>
      <c r="J77">
        <v>-0.2</v>
      </c>
      <c r="O77">
        <f t="shared" si="59"/>
        <v>0</v>
      </c>
      <c r="P77">
        <f t="shared" si="60"/>
        <v>0</v>
      </c>
      <c r="Q77">
        <f t="shared" si="61"/>
        <v>0</v>
      </c>
      <c r="R77">
        <f t="shared" si="62"/>
        <v>0</v>
      </c>
      <c r="S77">
        <f t="shared" si="63"/>
        <v>0</v>
      </c>
      <c r="T77">
        <f t="shared" si="64"/>
        <v>0</v>
      </c>
      <c r="U77">
        <f t="shared" si="65"/>
        <v>0</v>
      </c>
      <c r="V77">
        <f t="shared" si="66"/>
        <v>0</v>
      </c>
      <c r="W77">
        <f t="shared" si="67"/>
        <v>0</v>
      </c>
      <c r="X77">
        <f t="shared" si="68"/>
        <v>0</v>
      </c>
      <c r="Y77">
        <f t="shared" si="69"/>
        <v>0</v>
      </c>
      <c r="AA77">
        <v>90163004</v>
      </c>
      <c r="AB77">
        <f t="shared" si="70"/>
        <v>0</v>
      </c>
      <c r="AC77">
        <f t="shared" si="91"/>
        <v>0</v>
      </c>
      <c r="AD77">
        <f t="shared" ref="AD77:AF82" si="93">ROUND((ET77),6)</f>
        <v>0</v>
      </c>
      <c r="AE77">
        <f t="shared" si="93"/>
        <v>0</v>
      </c>
      <c r="AF77">
        <f t="shared" si="93"/>
        <v>0</v>
      </c>
      <c r="AG77">
        <f t="shared" si="71"/>
        <v>0</v>
      </c>
      <c r="AH77">
        <f t="shared" ref="AH77:AI82" si="94">(EW77)</f>
        <v>0</v>
      </c>
      <c r="AI77">
        <f t="shared" si="94"/>
        <v>0</v>
      </c>
      <c r="AJ77">
        <f t="shared" si="72"/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1</v>
      </c>
      <c r="AW77">
        <v>1</v>
      </c>
      <c r="AZ77">
        <v>1</v>
      </c>
      <c r="BA77">
        <v>1</v>
      </c>
      <c r="BB77">
        <v>1</v>
      </c>
      <c r="BC77">
        <v>1</v>
      </c>
      <c r="BD77" t="s">
        <v>3</v>
      </c>
      <c r="BE77" t="s">
        <v>3</v>
      </c>
      <c r="BF77" t="s">
        <v>3</v>
      </c>
      <c r="BG77" t="s">
        <v>3</v>
      </c>
      <c r="BH77">
        <v>3</v>
      </c>
      <c r="BI77">
        <v>1</v>
      </c>
      <c r="BJ77" t="s">
        <v>3</v>
      </c>
      <c r="BM77">
        <v>1114</v>
      </c>
      <c r="BN77">
        <v>0</v>
      </c>
      <c r="BO77" t="s">
        <v>3</v>
      </c>
      <c r="BP77">
        <v>0</v>
      </c>
      <c r="BQ77">
        <v>160</v>
      </c>
      <c r="BR77">
        <v>1</v>
      </c>
      <c r="BS77">
        <v>1</v>
      </c>
      <c r="BT77">
        <v>1</v>
      </c>
      <c r="BU77">
        <v>1</v>
      </c>
      <c r="BV77">
        <v>1</v>
      </c>
      <c r="BW77">
        <v>1</v>
      </c>
      <c r="BX77">
        <v>1</v>
      </c>
      <c r="BY77" t="s">
        <v>3</v>
      </c>
      <c r="BZ77">
        <v>0</v>
      </c>
      <c r="CA77">
        <v>0</v>
      </c>
      <c r="CF77">
        <v>0</v>
      </c>
      <c r="CG77">
        <v>0</v>
      </c>
      <c r="CM77">
        <v>0</v>
      </c>
      <c r="CN77" t="s">
        <v>3</v>
      </c>
      <c r="CO77">
        <v>0</v>
      </c>
      <c r="CP77">
        <f t="shared" si="73"/>
        <v>0</v>
      </c>
      <c r="CQ77">
        <f t="shared" si="74"/>
        <v>0</v>
      </c>
      <c r="CR77">
        <f t="shared" si="75"/>
        <v>0</v>
      </c>
      <c r="CS77">
        <f t="shared" si="76"/>
        <v>0</v>
      </c>
      <c r="CT77">
        <f t="shared" si="77"/>
        <v>0</v>
      </c>
      <c r="CU77">
        <f t="shared" si="78"/>
        <v>0</v>
      </c>
      <c r="CV77">
        <f t="shared" si="79"/>
        <v>0</v>
      </c>
      <c r="CW77">
        <f t="shared" si="80"/>
        <v>0</v>
      </c>
      <c r="CX77">
        <f t="shared" si="81"/>
        <v>0</v>
      </c>
      <c r="CY77">
        <f t="shared" si="82"/>
        <v>0</v>
      </c>
      <c r="CZ77">
        <f t="shared" si="83"/>
        <v>0</v>
      </c>
      <c r="DC77" t="s">
        <v>3</v>
      </c>
      <c r="DD77" t="s">
        <v>3</v>
      </c>
      <c r="DE77" t="s">
        <v>3</v>
      </c>
      <c r="DF77" t="s">
        <v>3</v>
      </c>
      <c r="DG77" t="s">
        <v>3</v>
      </c>
      <c r="DH77" t="s">
        <v>3</v>
      </c>
      <c r="DI77" t="s">
        <v>3</v>
      </c>
      <c r="DJ77" t="s">
        <v>3</v>
      </c>
      <c r="DK77" t="s">
        <v>3</v>
      </c>
      <c r="DL77" t="s">
        <v>3</v>
      </c>
      <c r="DM77" t="s">
        <v>3</v>
      </c>
      <c r="DN77">
        <v>0</v>
      </c>
      <c r="DO77">
        <v>0</v>
      </c>
      <c r="DP77">
        <v>1</v>
      </c>
      <c r="DQ77">
        <v>1</v>
      </c>
      <c r="DU77">
        <v>1007</v>
      </c>
      <c r="DV77" t="s">
        <v>30</v>
      </c>
      <c r="DW77" t="s">
        <v>30</v>
      </c>
      <c r="DX77">
        <v>1</v>
      </c>
      <c r="EE77">
        <v>33196057</v>
      </c>
      <c r="EF77">
        <v>160</v>
      </c>
      <c r="EG77" t="s">
        <v>24</v>
      </c>
      <c r="EH77">
        <v>0</v>
      </c>
      <c r="EI77" t="s">
        <v>3</v>
      </c>
      <c r="EJ77">
        <v>1</v>
      </c>
      <c r="EK77">
        <v>1114</v>
      </c>
      <c r="EL77" t="s">
        <v>25</v>
      </c>
      <c r="EM77" t="s">
        <v>26</v>
      </c>
      <c r="EO77" t="s">
        <v>3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0</v>
      </c>
      <c r="FQ77">
        <v>0</v>
      </c>
      <c r="FR77">
        <f t="shared" si="84"/>
        <v>0</v>
      </c>
      <c r="FS77">
        <v>0</v>
      </c>
      <c r="FX77">
        <v>0</v>
      </c>
      <c r="FY77">
        <v>0</v>
      </c>
      <c r="GA77" t="s">
        <v>3</v>
      </c>
      <c r="GD77">
        <v>0</v>
      </c>
      <c r="GF77">
        <v>-589967668</v>
      </c>
      <c r="GG77">
        <v>2</v>
      </c>
      <c r="GH77">
        <v>0</v>
      </c>
      <c r="GI77">
        <v>-2</v>
      </c>
      <c r="GJ77">
        <v>0</v>
      </c>
      <c r="GK77">
        <f>ROUND(R77*(R12)/100,2)</f>
        <v>0</v>
      </c>
      <c r="GL77">
        <f t="shared" si="85"/>
        <v>0</v>
      </c>
      <c r="GM77">
        <f t="shared" si="86"/>
        <v>0</v>
      </c>
      <c r="GN77">
        <f t="shared" si="87"/>
        <v>0</v>
      </c>
      <c r="GO77">
        <f t="shared" si="88"/>
        <v>0</v>
      </c>
      <c r="GP77">
        <f t="shared" si="89"/>
        <v>0</v>
      </c>
      <c r="GR77">
        <v>0</v>
      </c>
      <c r="GT77">
        <v>0</v>
      </c>
      <c r="GU77">
        <v>1</v>
      </c>
      <c r="GV77">
        <v>0</v>
      </c>
      <c r="GW77">
        <v>0</v>
      </c>
    </row>
    <row r="78" spans="1:205" x14ac:dyDescent="0.2">
      <c r="A78">
        <v>17</v>
      </c>
      <c r="B78">
        <v>1</v>
      </c>
      <c r="C78">
        <f>ROW(SmtRes!A29)</f>
        <v>29</v>
      </c>
      <c r="D78">
        <f>ROW(EtalonRes!A27)</f>
        <v>27</v>
      </c>
      <c r="E78" t="s">
        <v>154</v>
      </c>
      <c r="F78" t="s">
        <v>61</v>
      </c>
      <c r="G78" t="s">
        <v>62</v>
      </c>
      <c r="H78" t="s">
        <v>63</v>
      </c>
      <c r="I78">
        <f>ROUND((120+36.784)/100,9)</f>
        <v>1.5678399999999999</v>
      </c>
      <c r="J78">
        <v>0</v>
      </c>
      <c r="O78">
        <f t="shared" si="59"/>
        <v>11064.12</v>
      </c>
      <c r="P78">
        <f t="shared" si="60"/>
        <v>0</v>
      </c>
      <c r="Q78">
        <f t="shared" si="61"/>
        <v>10604.03</v>
      </c>
      <c r="R78">
        <f t="shared" si="62"/>
        <v>4583.92</v>
      </c>
      <c r="S78">
        <f t="shared" si="63"/>
        <v>460.09</v>
      </c>
      <c r="T78">
        <f t="shared" si="64"/>
        <v>0</v>
      </c>
      <c r="U78">
        <f t="shared" si="65"/>
        <v>2.5790340863999996</v>
      </c>
      <c r="V78">
        <f t="shared" si="66"/>
        <v>0</v>
      </c>
      <c r="W78">
        <f t="shared" si="67"/>
        <v>0</v>
      </c>
      <c r="X78">
        <f t="shared" si="68"/>
        <v>446.29</v>
      </c>
      <c r="Y78">
        <f t="shared" si="69"/>
        <v>248.45</v>
      </c>
      <c r="AA78">
        <v>90163004</v>
      </c>
      <c r="AB78">
        <f t="shared" si="70"/>
        <v>771.65</v>
      </c>
      <c r="AC78">
        <f t="shared" si="91"/>
        <v>0</v>
      </c>
      <c r="AD78">
        <f t="shared" si="93"/>
        <v>757.55</v>
      </c>
      <c r="AE78">
        <f t="shared" si="93"/>
        <v>140.47999999999999</v>
      </c>
      <c r="AF78">
        <f t="shared" si="93"/>
        <v>14.1</v>
      </c>
      <c r="AG78">
        <f t="shared" si="71"/>
        <v>0</v>
      </c>
      <c r="AH78">
        <f t="shared" si="94"/>
        <v>1.38</v>
      </c>
      <c r="AI78">
        <f t="shared" si="94"/>
        <v>0</v>
      </c>
      <c r="AJ78">
        <f t="shared" si="72"/>
        <v>0</v>
      </c>
      <c r="AK78">
        <v>771.65</v>
      </c>
      <c r="AL78">
        <v>0</v>
      </c>
      <c r="AM78">
        <v>757.55</v>
      </c>
      <c r="AN78">
        <v>140.47999999999999</v>
      </c>
      <c r="AO78">
        <v>14.1</v>
      </c>
      <c r="AP78">
        <v>0</v>
      </c>
      <c r="AQ78">
        <v>1.38</v>
      </c>
      <c r="AR78">
        <v>0</v>
      </c>
      <c r="AS78">
        <v>0</v>
      </c>
      <c r="AT78">
        <v>97</v>
      </c>
      <c r="AU78">
        <v>54</v>
      </c>
      <c r="AV78">
        <v>1.1919999999999999</v>
      </c>
      <c r="AW78">
        <v>1</v>
      </c>
      <c r="AZ78">
        <v>1</v>
      </c>
      <c r="BA78">
        <v>17.46</v>
      </c>
      <c r="BB78">
        <v>7.49</v>
      </c>
      <c r="BC78">
        <v>1</v>
      </c>
      <c r="BD78" t="s">
        <v>3</v>
      </c>
      <c r="BE78" t="s">
        <v>3</v>
      </c>
      <c r="BF78" t="s">
        <v>3</v>
      </c>
      <c r="BG78" t="s">
        <v>3</v>
      </c>
      <c r="BH78">
        <v>0</v>
      </c>
      <c r="BI78">
        <v>1</v>
      </c>
      <c r="BJ78" t="s">
        <v>64</v>
      </c>
      <c r="BM78">
        <v>2</v>
      </c>
      <c r="BN78">
        <v>0</v>
      </c>
      <c r="BO78" t="s">
        <v>61</v>
      </c>
      <c r="BP78">
        <v>1</v>
      </c>
      <c r="BQ78">
        <v>30</v>
      </c>
      <c r="BR78">
        <v>0</v>
      </c>
      <c r="BS78">
        <v>17.46</v>
      </c>
      <c r="BT78">
        <v>1</v>
      </c>
      <c r="BU78">
        <v>1</v>
      </c>
      <c r="BV78">
        <v>1</v>
      </c>
      <c r="BW78">
        <v>1</v>
      </c>
      <c r="BX78">
        <v>1</v>
      </c>
      <c r="BY78" t="s">
        <v>3</v>
      </c>
      <c r="BZ78">
        <v>97</v>
      </c>
      <c r="CA78">
        <v>54</v>
      </c>
      <c r="CF78">
        <v>0</v>
      </c>
      <c r="CG78">
        <v>0</v>
      </c>
      <c r="CM78">
        <v>0</v>
      </c>
      <c r="CN78" t="s">
        <v>3</v>
      </c>
      <c r="CO78">
        <v>0</v>
      </c>
      <c r="CP78">
        <f t="shared" si="73"/>
        <v>11064.12</v>
      </c>
      <c r="CQ78">
        <f t="shared" si="74"/>
        <v>0</v>
      </c>
      <c r="CR78">
        <f t="shared" si="75"/>
        <v>6763.4670040000001</v>
      </c>
      <c r="CS78">
        <f t="shared" si="76"/>
        <v>2923.7147135999999</v>
      </c>
      <c r="CT78">
        <f t="shared" si="77"/>
        <v>293.453712</v>
      </c>
      <c r="CU78">
        <f t="shared" si="78"/>
        <v>0</v>
      </c>
      <c r="CV78">
        <f t="shared" si="79"/>
        <v>1.6449599999999998</v>
      </c>
      <c r="CW78">
        <f t="shared" si="80"/>
        <v>0</v>
      </c>
      <c r="CX78">
        <f t="shared" si="81"/>
        <v>0</v>
      </c>
      <c r="CY78">
        <f t="shared" si="82"/>
        <v>446.28729999999996</v>
      </c>
      <c r="CZ78">
        <f t="shared" si="83"/>
        <v>248.4486</v>
      </c>
      <c r="DC78" t="s">
        <v>3</v>
      </c>
      <c r="DD78" t="s">
        <v>3</v>
      </c>
      <c r="DE78" t="s">
        <v>3</v>
      </c>
      <c r="DF78" t="s">
        <v>3</v>
      </c>
      <c r="DG78" t="s">
        <v>3</v>
      </c>
      <c r="DH78" t="s">
        <v>3</v>
      </c>
      <c r="DI78" t="s">
        <v>3</v>
      </c>
      <c r="DJ78" t="s">
        <v>3</v>
      </c>
      <c r="DK78" t="s">
        <v>3</v>
      </c>
      <c r="DL78" t="s">
        <v>3</v>
      </c>
      <c r="DM78" t="s">
        <v>3</v>
      </c>
      <c r="DN78">
        <v>98</v>
      </c>
      <c r="DO78">
        <v>77</v>
      </c>
      <c r="DP78">
        <v>1.1919999999999999</v>
      </c>
      <c r="DQ78">
        <v>1</v>
      </c>
      <c r="DU78">
        <v>1007</v>
      </c>
      <c r="DV78" t="s">
        <v>63</v>
      </c>
      <c r="DW78" t="s">
        <v>63</v>
      </c>
      <c r="DX78">
        <v>100</v>
      </c>
      <c r="EE78">
        <v>33193650</v>
      </c>
      <c r="EF78">
        <v>30</v>
      </c>
      <c r="EG78" t="s">
        <v>48</v>
      </c>
      <c r="EH78">
        <v>0</v>
      </c>
      <c r="EI78" t="s">
        <v>3</v>
      </c>
      <c r="EJ78">
        <v>1</v>
      </c>
      <c r="EK78">
        <v>2</v>
      </c>
      <c r="EL78" t="s">
        <v>65</v>
      </c>
      <c r="EM78" t="s">
        <v>66</v>
      </c>
      <c r="EO78" t="s">
        <v>3</v>
      </c>
      <c r="EQ78">
        <v>256</v>
      </c>
      <c r="ER78">
        <v>771.65</v>
      </c>
      <c r="ES78">
        <v>0</v>
      </c>
      <c r="ET78">
        <v>757.55</v>
      </c>
      <c r="EU78">
        <v>140.47999999999999</v>
      </c>
      <c r="EV78">
        <v>14.1</v>
      </c>
      <c r="EW78">
        <v>1.38</v>
      </c>
      <c r="EX78">
        <v>0</v>
      </c>
      <c r="EY78">
        <v>0</v>
      </c>
      <c r="FQ78">
        <v>0</v>
      </c>
      <c r="FR78">
        <f t="shared" si="84"/>
        <v>0</v>
      </c>
      <c r="FS78">
        <v>0</v>
      </c>
      <c r="FX78">
        <v>98</v>
      </c>
      <c r="FY78">
        <v>77</v>
      </c>
      <c r="GA78" t="s">
        <v>3</v>
      </c>
      <c r="GD78">
        <v>0</v>
      </c>
      <c r="GF78">
        <v>-1881523562</v>
      </c>
      <c r="GG78">
        <v>2</v>
      </c>
      <c r="GH78">
        <v>1</v>
      </c>
      <c r="GI78">
        <v>2</v>
      </c>
      <c r="GJ78">
        <v>0</v>
      </c>
      <c r="GK78">
        <f>ROUND(R78*(R12)/100,2)</f>
        <v>7655.15</v>
      </c>
      <c r="GL78">
        <f t="shared" si="85"/>
        <v>0</v>
      </c>
      <c r="GM78">
        <f t="shared" si="86"/>
        <v>19414.010000000002</v>
      </c>
      <c r="GN78">
        <f t="shared" si="87"/>
        <v>19414.009999999998</v>
      </c>
      <c r="GO78">
        <f t="shared" si="88"/>
        <v>0</v>
      </c>
      <c r="GP78">
        <f t="shared" si="89"/>
        <v>0</v>
      </c>
      <c r="GR78">
        <v>0</v>
      </c>
      <c r="GT78">
        <v>0</v>
      </c>
      <c r="GU78">
        <v>1</v>
      </c>
      <c r="GV78">
        <v>0</v>
      </c>
      <c r="GW78">
        <v>0</v>
      </c>
    </row>
    <row r="79" spans="1:205" x14ac:dyDescent="0.2">
      <c r="A79">
        <v>17</v>
      </c>
      <c r="B79">
        <v>1</v>
      </c>
      <c r="E79" t="s">
        <v>155</v>
      </c>
      <c r="F79" t="s">
        <v>68</v>
      </c>
      <c r="G79" t="s">
        <v>69</v>
      </c>
      <c r="H79" t="s">
        <v>30</v>
      </c>
      <c r="I79">
        <f>ROUND(I78*100,9)</f>
        <v>156.78399999999999</v>
      </c>
      <c r="J79">
        <v>0</v>
      </c>
      <c r="O79">
        <f t="shared" si="59"/>
        <v>98176.51</v>
      </c>
      <c r="P79">
        <f t="shared" si="60"/>
        <v>0</v>
      </c>
      <c r="Q79">
        <f t="shared" si="61"/>
        <v>98176.51</v>
      </c>
      <c r="R79">
        <f t="shared" si="62"/>
        <v>0</v>
      </c>
      <c r="S79">
        <f t="shared" si="63"/>
        <v>0</v>
      </c>
      <c r="T79">
        <f t="shared" si="64"/>
        <v>0</v>
      </c>
      <c r="U79">
        <f t="shared" si="65"/>
        <v>0</v>
      </c>
      <c r="V79">
        <f t="shared" si="66"/>
        <v>0</v>
      </c>
      <c r="W79">
        <f t="shared" si="67"/>
        <v>0</v>
      </c>
      <c r="X79">
        <f t="shared" si="68"/>
        <v>0</v>
      </c>
      <c r="Y79">
        <f t="shared" si="69"/>
        <v>0</v>
      </c>
      <c r="AA79">
        <v>90163004</v>
      </c>
      <c r="AB79">
        <f t="shared" si="70"/>
        <v>71.319999999999993</v>
      </c>
      <c r="AC79">
        <f t="shared" si="91"/>
        <v>0</v>
      </c>
      <c r="AD79">
        <f t="shared" si="93"/>
        <v>71.319999999999993</v>
      </c>
      <c r="AE79">
        <f t="shared" si="93"/>
        <v>0</v>
      </c>
      <c r="AF79">
        <f t="shared" si="93"/>
        <v>0</v>
      </c>
      <c r="AG79">
        <f t="shared" si="71"/>
        <v>0</v>
      </c>
      <c r="AH79">
        <f t="shared" si="94"/>
        <v>0</v>
      </c>
      <c r="AI79">
        <f t="shared" si="94"/>
        <v>0</v>
      </c>
      <c r="AJ79">
        <f t="shared" si="72"/>
        <v>0</v>
      </c>
      <c r="AK79">
        <v>71.319999999999993</v>
      </c>
      <c r="AL79">
        <v>0</v>
      </c>
      <c r="AM79">
        <v>71.319999999999993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1</v>
      </c>
      <c r="AW79">
        <v>1</v>
      </c>
      <c r="AZ79">
        <v>1</v>
      </c>
      <c r="BA79">
        <v>17.46</v>
      </c>
      <c r="BB79">
        <v>8.7799999999999994</v>
      </c>
      <c r="BC79">
        <v>1</v>
      </c>
      <c r="BD79" t="s">
        <v>3</v>
      </c>
      <c r="BE79" t="s">
        <v>3</v>
      </c>
      <c r="BF79" t="s">
        <v>3</v>
      </c>
      <c r="BG79" t="s">
        <v>3</v>
      </c>
      <c r="BH79">
        <v>0</v>
      </c>
      <c r="BI79">
        <v>4</v>
      </c>
      <c r="BJ79" t="s">
        <v>70</v>
      </c>
      <c r="BM79">
        <v>1111</v>
      </c>
      <c r="BN79">
        <v>0</v>
      </c>
      <c r="BO79" t="s">
        <v>68</v>
      </c>
      <c r="BP79">
        <v>1</v>
      </c>
      <c r="BQ79">
        <v>150</v>
      </c>
      <c r="BR79">
        <v>0</v>
      </c>
      <c r="BS79">
        <v>17.46</v>
      </c>
      <c r="BT79">
        <v>1</v>
      </c>
      <c r="BU79">
        <v>1</v>
      </c>
      <c r="BV79">
        <v>1</v>
      </c>
      <c r="BW79">
        <v>1</v>
      </c>
      <c r="BX79">
        <v>1</v>
      </c>
      <c r="BY79" t="s">
        <v>3</v>
      </c>
      <c r="BZ79">
        <v>0</v>
      </c>
      <c r="CA79">
        <v>0</v>
      </c>
      <c r="CF79">
        <v>0</v>
      </c>
      <c r="CG79">
        <v>0</v>
      </c>
      <c r="CM79">
        <v>0</v>
      </c>
      <c r="CN79" t="s">
        <v>3</v>
      </c>
      <c r="CO79">
        <v>0</v>
      </c>
      <c r="CP79">
        <f t="shared" si="73"/>
        <v>98176.51</v>
      </c>
      <c r="CQ79">
        <f t="shared" si="74"/>
        <v>0</v>
      </c>
      <c r="CR79">
        <f t="shared" si="75"/>
        <v>626.18959999999993</v>
      </c>
      <c r="CS79">
        <f t="shared" si="76"/>
        <v>0</v>
      </c>
      <c r="CT79">
        <f t="shared" si="77"/>
        <v>0</v>
      </c>
      <c r="CU79">
        <f t="shared" si="78"/>
        <v>0</v>
      </c>
      <c r="CV79">
        <f t="shared" si="79"/>
        <v>0</v>
      </c>
      <c r="CW79">
        <f t="shared" si="80"/>
        <v>0</v>
      </c>
      <c r="CX79">
        <f t="shared" si="81"/>
        <v>0</v>
      </c>
      <c r="CY79">
        <f t="shared" si="82"/>
        <v>0</v>
      </c>
      <c r="CZ79">
        <f t="shared" si="83"/>
        <v>0</v>
      </c>
      <c r="DC79" t="s">
        <v>3</v>
      </c>
      <c r="DD79" t="s">
        <v>3</v>
      </c>
      <c r="DE79" t="s">
        <v>3</v>
      </c>
      <c r="DF79" t="s">
        <v>3</v>
      </c>
      <c r="DG79" t="s">
        <v>3</v>
      </c>
      <c r="DH79" t="s">
        <v>3</v>
      </c>
      <c r="DI79" t="s">
        <v>3</v>
      </c>
      <c r="DJ79" t="s">
        <v>3</v>
      </c>
      <c r="DK79" t="s">
        <v>3</v>
      </c>
      <c r="DL79" t="s">
        <v>3</v>
      </c>
      <c r="DM79" t="s">
        <v>3</v>
      </c>
      <c r="DN79">
        <v>0</v>
      </c>
      <c r="DO79">
        <v>0</v>
      </c>
      <c r="DP79">
        <v>1</v>
      </c>
      <c r="DQ79">
        <v>1</v>
      </c>
      <c r="DU79">
        <v>1007</v>
      </c>
      <c r="DV79" t="s">
        <v>30</v>
      </c>
      <c r="DW79" t="s">
        <v>30</v>
      </c>
      <c r="DX79">
        <v>1</v>
      </c>
      <c r="EE79">
        <v>33196047</v>
      </c>
      <c r="EF79">
        <v>150</v>
      </c>
      <c r="EG79" t="s">
        <v>71</v>
      </c>
      <c r="EH79">
        <v>0</v>
      </c>
      <c r="EI79" t="s">
        <v>3</v>
      </c>
      <c r="EJ79">
        <v>4</v>
      </c>
      <c r="EK79">
        <v>1111</v>
      </c>
      <c r="EL79" t="s">
        <v>72</v>
      </c>
      <c r="EM79" t="s">
        <v>73</v>
      </c>
      <c r="EO79" t="s">
        <v>3</v>
      </c>
      <c r="EQ79">
        <v>256</v>
      </c>
      <c r="ER79">
        <v>71.319999999999993</v>
      </c>
      <c r="ES79">
        <v>0</v>
      </c>
      <c r="ET79">
        <v>71.319999999999993</v>
      </c>
      <c r="EU79">
        <v>0</v>
      </c>
      <c r="EV79">
        <v>0</v>
      </c>
      <c r="EW79">
        <v>0</v>
      </c>
      <c r="EX79">
        <v>0</v>
      </c>
      <c r="EY79">
        <v>0</v>
      </c>
      <c r="FQ79">
        <v>0</v>
      </c>
      <c r="FR79">
        <f t="shared" si="84"/>
        <v>0</v>
      </c>
      <c r="FS79">
        <v>0</v>
      </c>
      <c r="FX79">
        <v>0</v>
      </c>
      <c r="FY79">
        <v>0</v>
      </c>
      <c r="GA79" t="s">
        <v>3</v>
      </c>
      <c r="GD79">
        <v>0</v>
      </c>
      <c r="GF79">
        <v>-479188797</v>
      </c>
      <c r="GG79">
        <v>2</v>
      </c>
      <c r="GH79">
        <v>1</v>
      </c>
      <c r="GI79">
        <v>2</v>
      </c>
      <c r="GJ79">
        <v>0</v>
      </c>
      <c r="GK79">
        <f>ROUND(R79*(R12)/100,2)</f>
        <v>0</v>
      </c>
      <c r="GL79">
        <f t="shared" si="85"/>
        <v>0</v>
      </c>
      <c r="GM79">
        <f t="shared" si="86"/>
        <v>98176.51</v>
      </c>
      <c r="GN79">
        <f t="shared" si="87"/>
        <v>0</v>
      </c>
      <c r="GO79">
        <f t="shared" si="88"/>
        <v>0</v>
      </c>
      <c r="GP79">
        <f t="shared" si="89"/>
        <v>98176.51</v>
      </c>
      <c r="GR79">
        <v>0</v>
      </c>
      <c r="GT79">
        <v>0</v>
      </c>
      <c r="GU79">
        <v>1</v>
      </c>
      <c r="GV79">
        <v>0</v>
      </c>
      <c r="GW79">
        <v>0</v>
      </c>
    </row>
    <row r="80" spans="1:205" x14ac:dyDescent="0.2">
      <c r="A80">
        <v>17</v>
      </c>
      <c r="B80">
        <v>1</v>
      </c>
      <c r="E80" t="s">
        <v>156</v>
      </c>
      <c r="F80" t="s">
        <v>75</v>
      </c>
      <c r="G80" t="s">
        <v>76</v>
      </c>
      <c r="H80" t="s">
        <v>39</v>
      </c>
      <c r="I80">
        <f>ROUND(I79*1.5,9)</f>
        <v>235.17599999999999</v>
      </c>
      <c r="J80">
        <v>0</v>
      </c>
      <c r="O80">
        <f t="shared" si="59"/>
        <v>21272.89</v>
      </c>
      <c r="P80">
        <f t="shared" si="60"/>
        <v>0</v>
      </c>
      <c r="Q80">
        <f t="shared" si="61"/>
        <v>21272.89</v>
      </c>
      <c r="R80">
        <f t="shared" si="62"/>
        <v>0</v>
      </c>
      <c r="S80">
        <f t="shared" si="63"/>
        <v>0</v>
      </c>
      <c r="T80">
        <f t="shared" si="64"/>
        <v>0</v>
      </c>
      <c r="U80">
        <f t="shared" si="65"/>
        <v>0</v>
      </c>
      <c r="V80">
        <f t="shared" si="66"/>
        <v>0</v>
      </c>
      <c r="W80">
        <f t="shared" si="67"/>
        <v>0</v>
      </c>
      <c r="X80">
        <f t="shared" si="68"/>
        <v>0</v>
      </c>
      <c r="Y80">
        <f t="shared" si="69"/>
        <v>0</v>
      </c>
      <c r="AA80">
        <v>90163004</v>
      </c>
      <c r="AB80">
        <f t="shared" si="70"/>
        <v>43.28</v>
      </c>
      <c r="AC80">
        <f t="shared" si="91"/>
        <v>0</v>
      </c>
      <c r="AD80">
        <f t="shared" si="93"/>
        <v>43.28</v>
      </c>
      <c r="AE80">
        <f t="shared" si="93"/>
        <v>0</v>
      </c>
      <c r="AF80">
        <f t="shared" si="93"/>
        <v>0</v>
      </c>
      <c r="AG80">
        <f t="shared" si="71"/>
        <v>0</v>
      </c>
      <c r="AH80">
        <f t="shared" si="94"/>
        <v>0</v>
      </c>
      <c r="AI80">
        <f t="shared" si="94"/>
        <v>0</v>
      </c>
      <c r="AJ80">
        <f t="shared" si="72"/>
        <v>0</v>
      </c>
      <c r="AK80">
        <v>43.28</v>
      </c>
      <c r="AL80">
        <v>0</v>
      </c>
      <c r="AM80">
        <v>43.28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1</v>
      </c>
      <c r="AW80">
        <v>1</v>
      </c>
      <c r="AZ80">
        <v>1</v>
      </c>
      <c r="BA80">
        <v>17.46</v>
      </c>
      <c r="BB80">
        <v>2.09</v>
      </c>
      <c r="BC80">
        <v>1</v>
      </c>
      <c r="BD80" t="s">
        <v>3</v>
      </c>
      <c r="BE80" t="s">
        <v>3</v>
      </c>
      <c r="BF80" t="s">
        <v>3</v>
      </c>
      <c r="BG80" t="s">
        <v>3</v>
      </c>
      <c r="BH80">
        <v>0</v>
      </c>
      <c r="BI80">
        <v>4</v>
      </c>
      <c r="BJ80" t="s">
        <v>77</v>
      </c>
      <c r="BM80">
        <v>1111</v>
      </c>
      <c r="BN80">
        <v>0</v>
      </c>
      <c r="BO80" t="s">
        <v>75</v>
      </c>
      <c r="BP80">
        <v>1</v>
      </c>
      <c r="BQ80">
        <v>150</v>
      </c>
      <c r="BR80">
        <v>0</v>
      </c>
      <c r="BS80">
        <v>17.46</v>
      </c>
      <c r="BT80">
        <v>1</v>
      </c>
      <c r="BU80">
        <v>1</v>
      </c>
      <c r="BV80">
        <v>1</v>
      </c>
      <c r="BW80">
        <v>1</v>
      </c>
      <c r="BX80">
        <v>1</v>
      </c>
      <c r="BY80" t="s">
        <v>3</v>
      </c>
      <c r="BZ80">
        <v>0</v>
      </c>
      <c r="CA80">
        <v>0</v>
      </c>
      <c r="CF80">
        <v>0</v>
      </c>
      <c r="CG80">
        <v>0</v>
      </c>
      <c r="CM80">
        <v>0</v>
      </c>
      <c r="CN80" t="s">
        <v>3</v>
      </c>
      <c r="CO80">
        <v>0</v>
      </c>
      <c r="CP80">
        <f t="shared" si="73"/>
        <v>21272.89</v>
      </c>
      <c r="CQ80">
        <f t="shared" si="74"/>
        <v>0</v>
      </c>
      <c r="CR80">
        <f t="shared" si="75"/>
        <v>90.455199999999991</v>
      </c>
      <c r="CS80">
        <f t="shared" si="76"/>
        <v>0</v>
      </c>
      <c r="CT80">
        <f t="shared" si="77"/>
        <v>0</v>
      </c>
      <c r="CU80">
        <f t="shared" si="78"/>
        <v>0</v>
      </c>
      <c r="CV80">
        <f t="shared" si="79"/>
        <v>0</v>
      </c>
      <c r="CW80">
        <f t="shared" si="80"/>
        <v>0</v>
      </c>
      <c r="CX80">
        <f t="shared" si="81"/>
        <v>0</v>
      </c>
      <c r="CY80">
        <f t="shared" si="82"/>
        <v>0</v>
      </c>
      <c r="CZ80">
        <f t="shared" si="83"/>
        <v>0</v>
      </c>
      <c r="DC80" t="s">
        <v>3</v>
      </c>
      <c r="DD80" t="s">
        <v>3</v>
      </c>
      <c r="DE80" t="s">
        <v>3</v>
      </c>
      <c r="DF80" t="s">
        <v>3</v>
      </c>
      <c r="DG80" t="s">
        <v>3</v>
      </c>
      <c r="DH80" t="s">
        <v>3</v>
      </c>
      <c r="DI80" t="s">
        <v>3</v>
      </c>
      <c r="DJ80" t="s">
        <v>3</v>
      </c>
      <c r="DK80" t="s">
        <v>3</v>
      </c>
      <c r="DL80" t="s">
        <v>3</v>
      </c>
      <c r="DM80" t="s">
        <v>3</v>
      </c>
      <c r="DN80">
        <v>0</v>
      </c>
      <c r="DO80">
        <v>0</v>
      </c>
      <c r="DP80">
        <v>1</v>
      </c>
      <c r="DQ80">
        <v>1</v>
      </c>
      <c r="DU80">
        <v>1009</v>
      </c>
      <c r="DV80" t="s">
        <v>39</v>
      </c>
      <c r="DW80" t="s">
        <v>39</v>
      </c>
      <c r="DX80">
        <v>1000</v>
      </c>
      <c r="EE80">
        <v>33196047</v>
      </c>
      <c r="EF80">
        <v>150</v>
      </c>
      <c r="EG80" t="s">
        <v>71</v>
      </c>
      <c r="EH80">
        <v>0</v>
      </c>
      <c r="EI80" t="s">
        <v>3</v>
      </c>
      <c r="EJ80">
        <v>4</v>
      </c>
      <c r="EK80">
        <v>1111</v>
      </c>
      <c r="EL80" t="s">
        <v>72</v>
      </c>
      <c r="EM80" t="s">
        <v>73</v>
      </c>
      <c r="EO80" t="s">
        <v>3</v>
      </c>
      <c r="EQ80">
        <v>256</v>
      </c>
      <c r="ER80">
        <v>43.28</v>
      </c>
      <c r="ES80">
        <v>0</v>
      </c>
      <c r="ET80">
        <v>43.28</v>
      </c>
      <c r="EU80">
        <v>0</v>
      </c>
      <c r="EV80">
        <v>0</v>
      </c>
      <c r="EW80">
        <v>0</v>
      </c>
      <c r="EX80">
        <v>0</v>
      </c>
      <c r="EY80">
        <v>0</v>
      </c>
      <c r="FQ80">
        <v>0</v>
      </c>
      <c r="FR80">
        <f t="shared" si="84"/>
        <v>0</v>
      </c>
      <c r="FS80">
        <v>0</v>
      </c>
      <c r="FX80">
        <v>0</v>
      </c>
      <c r="FY80">
        <v>0</v>
      </c>
      <c r="GA80" t="s">
        <v>3</v>
      </c>
      <c r="GD80">
        <v>0</v>
      </c>
      <c r="GF80">
        <v>1695613196</v>
      </c>
      <c r="GG80">
        <v>2</v>
      </c>
      <c r="GH80">
        <v>1</v>
      </c>
      <c r="GI80">
        <v>2</v>
      </c>
      <c r="GJ80">
        <v>0</v>
      </c>
      <c r="GK80">
        <f>ROUND(R80*(R12)/100,2)</f>
        <v>0</v>
      </c>
      <c r="GL80">
        <f t="shared" si="85"/>
        <v>0</v>
      </c>
      <c r="GM80">
        <f t="shared" si="86"/>
        <v>21272.89</v>
      </c>
      <c r="GN80">
        <f t="shared" si="87"/>
        <v>0</v>
      </c>
      <c r="GO80">
        <f t="shared" si="88"/>
        <v>0</v>
      </c>
      <c r="GP80">
        <f t="shared" si="89"/>
        <v>21272.89</v>
      </c>
      <c r="GR80">
        <v>0</v>
      </c>
      <c r="GT80">
        <v>0</v>
      </c>
      <c r="GU80">
        <v>1</v>
      </c>
      <c r="GV80">
        <v>0</v>
      </c>
      <c r="GW80">
        <v>0</v>
      </c>
    </row>
    <row r="81" spans="1:205" x14ac:dyDescent="0.2">
      <c r="A81">
        <v>17</v>
      </c>
      <c r="B81">
        <v>1</v>
      </c>
      <c r="E81" t="s">
        <v>157</v>
      </c>
      <c r="F81" t="s">
        <v>79</v>
      </c>
      <c r="G81" t="s">
        <v>80</v>
      </c>
      <c r="H81" t="s">
        <v>39</v>
      </c>
      <c r="I81">
        <v>6.0000000000000001E-3</v>
      </c>
      <c r="J81">
        <v>0</v>
      </c>
      <c r="O81">
        <f t="shared" si="59"/>
        <v>2.67</v>
      </c>
      <c r="P81">
        <f t="shared" si="60"/>
        <v>0</v>
      </c>
      <c r="Q81">
        <f t="shared" si="61"/>
        <v>2.67</v>
      </c>
      <c r="R81">
        <f t="shared" si="62"/>
        <v>0</v>
      </c>
      <c r="S81">
        <f t="shared" si="63"/>
        <v>0</v>
      </c>
      <c r="T81">
        <f t="shared" si="64"/>
        <v>0</v>
      </c>
      <c r="U81">
        <f t="shared" si="65"/>
        <v>0</v>
      </c>
      <c r="V81">
        <f t="shared" si="66"/>
        <v>0</v>
      </c>
      <c r="W81">
        <f t="shared" si="67"/>
        <v>0</v>
      </c>
      <c r="X81">
        <f t="shared" si="68"/>
        <v>0</v>
      </c>
      <c r="Y81">
        <f t="shared" si="69"/>
        <v>0</v>
      </c>
      <c r="AA81">
        <v>90163004</v>
      </c>
      <c r="AB81">
        <f t="shared" si="70"/>
        <v>58.32</v>
      </c>
      <c r="AC81">
        <f t="shared" si="91"/>
        <v>0</v>
      </c>
      <c r="AD81">
        <f t="shared" si="93"/>
        <v>58.32</v>
      </c>
      <c r="AE81">
        <f t="shared" si="93"/>
        <v>0</v>
      </c>
      <c r="AF81">
        <f t="shared" si="93"/>
        <v>0</v>
      </c>
      <c r="AG81">
        <f t="shared" si="71"/>
        <v>0</v>
      </c>
      <c r="AH81">
        <f t="shared" si="94"/>
        <v>0</v>
      </c>
      <c r="AI81">
        <f t="shared" si="94"/>
        <v>0</v>
      </c>
      <c r="AJ81">
        <f t="shared" si="72"/>
        <v>0</v>
      </c>
      <c r="AK81">
        <v>58.32</v>
      </c>
      <c r="AL81">
        <v>0</v>
      </c>
      <c r="AM81">
        <v>58.32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1</v>
      </c>
      <c r="AW81">
        <v>1</v>
      </c>
      <c r="AZ81">
        <v>1</v>
      </c>
      <c r="BA81">
        <v>17.46</v>
      </c>
      <c r="BB81">
        <v>7.62</v>
      </c>
      <c r="BC81">
        <v>1</v>
      </c>
      <c r="BD81" t="s">
        <v>3</v>
      </c>
      <c r="BE81" t="s">
        <v>3</v>
      </c>
      <c r="BF81" t="s">
        <v>3</v>
      </c>
      <c r="BG81" t="s">
        <v>3</v>
      </c>
      <c r="BH81">
        <v>0</v>
      </c>
      <c r="BI81">
        <v>4</v>
      </c>
      <c r="BJ81" t="s">
        <v>81</v>
      </c>
      <c r="BM81">
        <v>1113</v>
      </c>
      <c r="BN81">
        <v>0</v>
      </c>
      <c r="BO81" t="s">
        <v>79</v>
      </c>
      <c r="BP81">
        <v>1</v>
      </c>
      <c r="BQ81">
        <v>150</v>
      </c>
      <c r="BR81">
        <v>0</v>
      </c>
      <c r="BS81">
        <v>17.46</v>
      </c>
      <c r="BT81">
        <v>1</v>
      </c>
      <c r="BU81">
        <v>1</v>
      </c>
      <c r="BV81">
        <v>1</v>
      </c>
      <c r="BW81">
        <v>1</v>
      </c>
      <c r="BX81">
        <v>1</v>
      </c>
      <c r="BY81" t="s">
        <v>3</v>
      </c>
      <c r="BZ81">
        <v>0</v>
      </c>
      <c r="CA81">
        <v>0</v>
      </c>
      <c r="CF81">
        <v>0</v>
      </c>
      <c r="CG81">
        <v>0</v>
      </c>
      <c r="CM81">
        <v>0</v>
      </c>
      <c r="CN81" t="s">
        <v>3</v>
      </c>
      <c r="CO81">
        <v>0</v>
      </c>
      <c r="CP81">
        <f t="shared" si="73"/>
        <v>2.67</v>
      </c>
      <c r="CQ81">
        <f t="shared" si="74"/>
        <v>0</v>
      </c>
      <c r="CR81">
        <f t="shared" si="75"/>
        <v>444.39839999999998</v>
      </c>
      <c r="CS81">
        <f t="shared" si="76"/>
        <v>0</v>
      </c>
      <c r="CT81">
        <f t="shared" si="77"/>
        <v>0</v>
      </c>
      <c r="CU81">
        <f t="shared" si="78"/>
        <v>0</v>
      </c>
      <c r="CV81">
        <f t="shared" si="79"/>
        <v>0</v>
      </c>
      <c r="CW81">
        <f t="shared" si="80"/>
        <v>0</v>
      </c>
      <c r="CX81">
        <f t="shared" si="81"/>
        <v>0</v>
      </c>
      <c r="CY81">
        <f t="shared" si="82"/>
        <v>0</v>
      </c>
      <c r="CZ81">
        <f t="shared" si="83"/>
        <v>0</v>
      </c>
      <c r="DC81" t="s">
        <v>3</v>
      </c>
      <c r="DD81" t="s">
        <v>3</v>
      </c>
      <c r="DE81" t="s">
        <v>3</v>
      </c>
      <c r="DF81" t="s">
        <v>3</v>
      </c>
      <c r="DG81" t="s">
        <v>3</v>
      </c>
      <c r="DH81" t="s">
        <v>3</v>
      </c>
      <c r="DI81" t="s">
        <v>3</v>
      </c>
      <c r="DJ81" t="s">
        <v>3</v>
      </c>
      <c r="DK81" t="s">
        <v>3</v>
      </c>
      <c r="DL81" t="s">
        <v>3</v>
      </c>
      <c r="DM81" t="s">
        <v>3</v>
      </c>
      <c r="DN81">
        <v>0</v>
      </c>
      <c r="DO81">
        <v>0</v>
      </c>
      <c r="DP81">
        <v>1</v>
      </c>
      <c r="DQ81">
        <v>1</v>
      </c>
      <c r="DU81">
        <v>1009</v>
      </c>
      <c r="DV81" t="s">
        <v>39</v>
      </c>
      <c r="DW81" t="s">
        <v>39</v>
      </c>
      <c r="DX81">
        <v>1000</v>
      </c>
      <c r="EE81">
        <v>33196053</v>
      </c>
      <c r="EF81">
        <v>150</v>
      </c>
      <c r="EG81" t="s">
        <v>71</v>
      </c>
      <c r="EH81">
        <v>0</v>
      </c>
      <c r="EI81" t="s">
        <v>3</v>
      </c>
      <c r="EJ81">
        <v>4</v>
      </c>
      <c r="EK81">
        <v>1113</v>
      </c>
      <c r="EL81" t="s">
        <v>82</v>
      </c>
      <c r="EM81" t="s">
        <v>83</v>
      </c>
      <c r="EO81" t="s">
        <v>3</v>
      </c>
      <c r="EQ81">
        <v>256</v>
      </c>
      <c r="ER81">
        <v>58.32</v>
      </c>
      <c r="ES81">
        <v>0</v>
      </c>
      <c r="ET81">
        <v>58.32</v>
      </c>
      <c r="EU81">
        <v>0</v>
      </c>
      <c r="EV81">
        <v>0</v>
      </c>
      <c r="EW81">
        <v>0</v>
      </c>
      <c r="EX81">
        <v>0</v>
      </c>
      <c r="EY81">
        <v>0</v>
      </c>
      <c r="FQ81">
        <v>0</v>
      </c>
      <c r="FR81">
        <f t="shared" si="84"/>
        <v>0</v>
      </c>
      <c r="FS81">
        <v>0</v>
      </c>
      <c r="FX81">
        <v>0</v>
      </c>
      <c r="FY81">
        <v>0</v>
      </c>
      <c r="GA81" t="s">
        <v>3</v>
      </c>
      <c r="GD81">
        <v>0</v>
      </c>
      <c r="GF81">
        <v>1267817562</v>
      </c>
      <c r="GG81">
        <v>2</v>
      </c>
      <c r="GH81">
        <v>1</v>
      </c>
      <c r="GI81">
        <v>2</v>
      </c>
      <c r="GJ81">
        <v>0</v>
      </c>
      <c r="GK81">
        <f>ROUND(R81*(R12)/100,2)</f>
        <v>0</v>
      </c>
      <c r="GL81">
        <f t="shared" si="85"/>
        <v>0</v>
      </c>
      <c r="GM81">
        <f t="shared" si="86"/>
        <v>2.67</v>
      </c>
      <c r="GN81">
        <f t="shared" si="87"/>
        <v>0</v>
      </c>
      <c r="GO81">
        <f t="shared" si="88"/>
        <v>0</v>
      </c>
      <c r="GP81">
        <f t="shared" si="89"/>
        <v>2.67</v>
      </c>
      <c r="GR81">
        <v>0</v>
      </c>
      <c r="GT81">
        <v>0</v>
      </c>
      <c r="GU81">
        <v>1</v>
      </c>
      <c r="GV81">
        <v>0</v>
      </c>
      <c r="GW81">
        <v>0</v>
      </c>
    </row>
    <row r="82" spans="1:205" x14ac:dyDescent="0.2">
      <c r="A82">
        <v>17</v>
      </c>
      <c r="B82">
        <v>1</v>
      </c>
      <c r="E82" t="s">
        <v>158</v>
      </c>
      <c r="F82" t="s">
        <v>85</v>
      </c>
      <c r="G82" t="s">
        <v>86</v>
      </c>
      <c r="H82" t="s">
        <v>39</v>
      </c>
      <c r="I82">
        <f>ROUND(I81,9)</f>
        <v>6.0000000000000001E-3</v>
      </c>
      <c r="J82">
        <v>0</v>
      </c>
      <c r="O82">
        <f t="shared" si="59"/>
        <v>1.22</v>
      </c>
      <c r="P82">
        <f t="shared" si="60"/>
        <v>0</v>
      </c>
      <c r="Q82">
        <f t="shared" si="61"/>
        <v>1.22</v>
      </c>
      <c r="R82">
        <f t="shared" si="62"/>
        <v>0</v>
      </c>
      <c r="S82">
        <f t="shared" si="63"/>
        <v>0</v>
      </c>
      <c r="T82">
        <f t="shared" si="64"/>
        <v>0</v>
      </c>
      <c r="U82">
        <f t="shared" si="65"/>
        <v>0</v>
      </c>
      <c r="V82">
        <f t="shared" si="66"/>
        <v>0</v>
      </c>
      <c r="W82">
        <f t="shared" si="67"/>
        <v>0</v>
      </c>
      <c r="X82">
        <f t="shared" si="68"/>
        <v>0</v>
      </c>
      <c r="Y82">
        <f t="shared" si="69"/>
        <v>0</v>
      </c>
      <c r="AA82">
        <v>90163004</v>
      </c>
      <c r="AB82">
        <f t="shared" si="70"/>
        <v>101</v>
      </c>
      <c r="AC82">
        <f t="shared" si="91"/>
        <v>0</v>
      </c>
      <c r="AD82">
        <f t="shared" si="93"/>
        <v>101</v>
      </c>
      <c r="AE82">
        <f t="shared" si="93"/>
        <v>0</v>
      </c>
      <c r="AF82">
        <f t="shared" si="93"/>
        <v>0</v>
      </c>
      <c r="AG82">
        <f t="shared" si="71"/>
        <v>0</v>
      </c>
      <c r="AH82">
        <f t="shared" si="94"/>
        <v>0</v>
      </c>
      <c r="AI82">
        <f t="shared" si="94"/>
        <v>0</v>
      </c>
      <c r="AJ82">
        <f t="shared" si="72"/>
        <v>0</v>
      </c>
      <c r="AK82">
        <v>101</v>
      </c>
      <c r="AL82">
        <v>0</v>
      </c>
      <c r="AM82">
        <v>101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1</v>
      </c>
      <c r="AW82">
        <v>1</v>
      </c>
      <c r="AZ82">
        <v>1</v>
      </c>
      <c r="BA82">
        <v>17.46</v>
      </c>
      <c r="BB82">
        <v>2.0099999999999998</v>
      </c>
      <c r="BC82">
        <v>1</v>
      </c>
      <c r="BD82" t="s">
        <v>3</v>
      </c>
      <c r="BE82" t="s">
        <v>3</v>
      </c>
      <c r="BF82" t="s">
        <v>3</v>
      </c>
      <c r="BG82" t="s">
        <v>3</v>
      </c>
      <c r="BH82">
        <v>0</v>
      </c>
      <c r="BI82">
        <v>4</v>
      </c>
      <c r="BJ82" t="s">
        <v>87</v>
      </c>
      <c r="BM82">
        <v>1110</v>
      </c>
      <c r="BN82">
        <v>0</v>
      </c>
      <c r="BO82" t="s">
        <v>85</v>
      </c>
      <c r="BP82">
        <v>1</v>
      </c>
      <c r="BQ82">
        <v>150</v>
      </c>
      <c r="BR82">
        <v>0</v>
      </c>
      <c r="BS82">
        <v>17.46</v>
      </c>
      <c r="BT82">
        <v>1</v>
      </c>
      <c r="BU82">
        <v>1</v>
      </c>
      <c r="BV82">
        <v>1</v>
      </c>
      <c r="BW82">
        <v>1</v>
      </c>
      <c r="BX82">
        <v>1</v>
      </c>
      <c r="BY82" t="s">
        <v>3</v>
      </c>
      <c r="BZ82">
        <v>0</v>
      </c>
      <c r="CA82">
        <v>0</v>
      </c>
      <c r="CF82">
        <v>0</v>
      </c>
      <c r="CG82">
        <v>0</v>
      </c>
      <c r="CM82">
        <v>0</v>
      </c>
      <c r="CN82" t="s">
        <v>3</v>
      </c>
      <c r="CO82">
        <v>0</v>
      </c>
      <c r="CP82">
        <f t="shared" si="73"/>
        <v>1.22</v>
      </c>
      <c r="CQ82">
        <f t="shared" si="74"/>
        <v>0</v>
      </c>
      <c r="CR82">
        <f t="shared" si="75"/>
        <v>203.01</v>
      </c>
      <c r="CS82">
        <f t="shared" si="76"/>
        <v>0</v>
      </c>
      <c r="CT82">
        <f t="shared" si="77"/>
        <v>0</v>
      </c>
      <c r="CU82">
        <f t="shared" si="78"/>
        <v>0</v>
      </c>
      <c r="CV82">
        <f t="shared" si="79"/>
        <v>0</v>
      </c>
      <c r="CW82">
        <f t="shared" si="80"/>
        <v>0</v>
      </c>
      <c r="CX82">
        <f t="shared" si="81"/>
        <v>0</v>
      </c>
      <c r="CY82">
        <f t="shared" si="82"/>
        <v>0</v>
      </c>
      <c r="CZ82">
        <f t="shared" si="83"/>
        <v>0</v>
      </c>
      <c r="DC82" t="s">
        <v>3</v>
      </c>
      <c r="DD82" t="s">
        <v>3</v>
      </c>
      <c r="DE82" t="s">
        <v>3</v>
      </c>
      <c r="DF82" t="s">
        <v>3</v>
      </c>
      <c r="DG82" t="s">
        <v>3</v>
      </c>
      <c r="DH82" t="s">
        <v>3</v>
      </c>
      <c r="DI82" t="s">
        <v>3</v>
      </c>
      <c r="DJ82" t="s">
        <v>3</v>
      </c>
      <c r="DK82" t="s">
        <v>3</v>
      </c>
      <c r="DL82" t="s">
        <v>3</v>
      </c>
      <c r="DM82" t="s">
        <v>3</v>
      </c>
      <c r="DN82">
        <v>0</v>
      </c>
      <c r="DO82">
        <v>0</v>
      </c>
      <c r="DP82">
        <v>1</v>
      </c>
      <c r="DQ82">
        <v>1</v>
      </c>
      <c r="DU82">
        <v>1009</v>
      </c>
      <c r="DV82" t="s">
        <v>39</v>
      </c>
      <c r="DW82" t="s">
        <v>39</v>
      </c>
      <c r="DX82">
        <v>1000</v>
      </c>
      <c r="EE82">
        <v>33196043</v>
      </c>
      <c r="EF82">
        <v>150</v>
      </c>
      <c r="EG82" t="s">
        <v>71</v>
      </c>
      <c r="EH82">
        <v>0</v>
      </c>
      <c r="EI82" t="s">
        <v>3</v>
      </c>
      <c r="EJ82">
        <v>4</v>
      </c>
      <c r="EK82">
        <v>1110</v>
      </c>
      <c r="EL82" t="s">
        <v>88</v>
      </c>
      <c r="EM82" t="s">
        <v>89</v>
      </c>
      <c r="EO82" t="s">
        <v>3</v>
      </c>
      <c r="EQ82">
        <v>256</v>
      </c>
      <c r="ER82">
        <v>101</v>
      </c>
      <c r="ES82">
        <v>0</v>
      </c>
      <c r="ET82">
        <v>101</v>
      </c>
      <c r="EU82">
        <v>0</v>
      </c>
      <c r="EV82">
        <v>0</v>
      </c>
      <c r="EW82">
        <v>0</v>
      </c>
      <c r="EX82">
        <v>0</v>
      </c>
      <c r="EY82">
        <v>0</v>
      </c>
      <c r="FQ82">
        <v>0</v>
      </c>
      <c r="FR82">
        <f t="shared" si="84"/>
        <v>0</v>
      </c>
      <c r="FS82">
        <v>0</v>
      </c>
      <c r="FX82">
        <v>0</v>
      </c>
      <c r="FY82">
        <v>0</v>
      </c>
      <c r="GA82" t="s">
        <v>3</v>
      </c>
      <c r="GD82">
        <v>0</v>
      </c>
      <c r="GF82">
        <v>684198422</v>
      </c>
      <c r="GG82">
        <v>2</v>
      </c>
      <c r="GH82">
        <v>1</v>
      </c>
      <c r="GI82">
        <v>2</v>
      </c>
      <c r="GJ82">
        <v>0</v>
      </c>
      <c r="GK82">
        <f>ROUND(R82*(R12)/100,2)</f>
        <v>0</v>
      </c>
      <c r="GL82">
        <f t="shared" si="85"/>
        <v>0</v>
      </c>
      <c r="GM82">
        <f t="shared" si="86"/>
        <v>1.22</v>
      </c>
      <c r="GN82">
        <f t="shared" si="87"/>
        <v>0</v>
      </c>
      <c r="GO82">
        <f t="shared" si="88"/>
        <v>0</v>
      </c>
      <c r="GP82">
        <f t="shared" si="89"/>
        <v>1.22</v>
      </c>
      <c r="GR82">
        <v>0</v>
      </c>
      <c r="GT82">
        <v>0</v>
      </c>
      <c r="GU82">
        <v>1</v>
      </c>
      <c r="GV82">
        <v>0</v>
      </c>
      <c r="GW82">
        <v>0</v>
      </c>
    </row>
    <row r="84" spans="1:205" x14ac:dyDescent="0.2">
      <c r="A84" s="2">
        <v>51</v>
      </c>
      <c r="B84" s="2">
        <f>B68</f>
        <v>1</v>
      </c>
      <c r="C84" s="2">
        <f>A68</f>
        <v>4</v>
      </c>
      <c r="D84" s="2">
        <f>ROW(A68)</f>
        <v>68</v>
      </c>
      <c r="E84" s="2"/>
      <c r="F84" s="2" t="str">
        <f>IF(F68&lt;&gt;"",F68,"")</f>
        <v>Новый раздел</v>
      </c>
      <c r="G84" s="2" t="str">
        <f>IF(G68&lt;&gt;"",G68,"")</f>
        <v>Тепловая сеть 2Ду80 ППУ-ПЭ бесканально - 60 п.м</v>
      </c>
      <c r="H84" s="2"/>
      <c r="I84" s="2"/>
      <c r="J84" s="2"/>
      <c r="K84" s="2"/>
      <c r="L84" s="2"/>
      <c r="M84" s="2"/>
      <c r="N84" s="2"/>
      <c r="O84" s="2">
        <f t="shared" ref="O84:T84" si="95">ROUND(AB84,2)</f>
        <v>2227899.85</v>
      </c>
      <c r="P84" s="2">
        <f t="shared" si="95"/>
        <v>983181.11</v>
      </c>
      <c r="Q84" s="2">
        <f t="shared" si="95"/>
        <v>382554.37</v>
      </c>
      <c r="R84" s="2">
        <f t="shared" si="95"/>
        <v>8687.1</v>
      </c>
      <c r="S84" s="2">
        <f t="shared" si="95"/>
        <v>862164.37</v>
      </c>
      <c r="T84" s="2">
        <f t="shared" si="95"/>
        <v>0</v>
      </c>
      <c r="U84" s="2">
        <f>AH84</f>
        <v>57.354546086399999</v>
      </c>
      <c r="V84" s="2">
        <f>AI84</f>
        <v>0</v>
      </c>
      <c r="W84" s="2">
        <f>ROUND(AJ84,2)</f>
        <v>172.55</v>
      </c>
      <c r="X84" s="2">
        <f>ROUND(AK84,2)</f>
        <v>18578.990000000002</v>
      </c>
      <c r="Y84" s="2">
        <f>ROUND(AL84,2)</f>
        <v>9476.7000000000007</v>
      </c>
      <c r="Z84" s="2"/>
      <c r="AA84" s="2"/>
      <c r="AB84" s="2">
        <f>ROUND(SUMIF(AA72:AA82,"=90163004",O72:O82),2)</f>
        <v>2227899.85</v>
      </c>
      <c r="AC84" s="2">
        <f>ROUND(SUMIF(AA72:AA82,"=90163004",P72:P82),2)</f>
        <v>983181.11</v>
      </c>
      <c r="AD84" s="2">
        <f>ROUND(SUMIF(AA72:AA82,"=90163004",Q72:Q82),2)</f>
        <v>382554.37</v>
      </c>
      <c r="AE84" s="2">
        <f>ROUND(SUMIF(AA72:AA82,"=90163004",R72:R82),2)</f>
        <v>8687.1</v>
      </c>
      <c r="AF84" s="2">
        <f>ROUND(SUMIF(AA72:AA82,"=90163004",S72:S82),2)</f>
        <v>862164.37</v>
      </c>
      <c r="AG84" s="2">
        <f>ROUND(SUMIF(AA72:AA82,"=90163004",T72:T82),2)</f>
        <v>0</v>
      </c>
      <c r="AH84" s="2">
        <f>SUMIF(AA72:AA82,"=90163004",U72:U82)</f>
        <v>57.354546086399999</v>
      </c>
      <c r="AI84" s="2">
        <f>SUMIF(AA72:AA82,"=90163004",V72:V82)</f>
        <v>0</v>
      </c>
      <c r="AJ84" s="2">
        <f>ROUND(SUMIF(AA72:AA82,"=90163004",W72:W82),2)</f>
        <v>172.55</v>
      </c>
      <c r="AK84" s="2">
        <f>ROUND(SUMIF(AA72:AA82,"=90163004",X72:X82),2)</f>
        <v>18578.990000000002</v>
      </c>
      <c r="AL84" s="2">
        <f>ROUND(SUMIF(AA72:AA82,"=90163004",Y72:Y82),2)</f>
        <v>9476.7000000000007</v>
      </c>
      <c r="AM84" s="2"/>
      <c r="AN84" s="2"/>
      <c r="AO84" s="2">
        <f t="shared" ref="AO84:AZ84" si="96">ROUND(BB84,2)</f>
        <v>0</v>
      </c>
      <c r="AP84" s="2">
        <f t="shared" si="96"/>
        <v>0</v>
      </c>
      <c r="AQ84" s="2">
        <f t="shared" si="96"/>
        <v>0</v>
      </c>
      <c r="AR84" s="2">
        <f t="shared" si="96"/>
        <v>2270463</v>
      </c>
      <c r="AS84" s="2">
        <f t="shared" si="96"/>
        <v>2151009.71</v>
      </c>
      <c r="AT84" s="2">
        <f t="shared" si="96"/>
        <v>0</v>
      </c>
      <c r="AU84" s="2">
        <f t="shared" si="96"/>
        <v>119453.29</v>
      </c>
      <c r="AV84" s="2">
        <f t="shared" si="96"/>
        <v>983181.11</v>
      </c>
      <c r="AW84" s="2">
        <f t="shared" si="96"/>
        <v>983181.11</v>
      </c>
      <c r="AX84" s="2">
        <f t="shared" si="96"/>
        <v>0</v>
      </c>
      <c r="AY84" s="2">
        <f t="shared" si="96"/>
        <v>983181.11</v>
      </c>
      <c r="AZ84" s="2">
        <f t="shared" si="96"/>
        <v>0</v>
      </c>
      <c r="BA84" s="2"/>
      <c r="BB84" s="2">
        <f>ROUND(SUMIF(AA72:AA82,"=90163004",FQ72:FQ82),2)</f>
        <v>0</v>
      </c>
      <c r="BC84" s="2">
        <f>ROUND(SUMIF(AA72:AA82,"=90163004",FR72:FR82),2)</f>
        <v>0</v>
      </c>
      <c r="BD84" s="2">
        <f>ROUND(SUMIF(AA72:AA82,"=90163004",GL72:GL82),2)</f>
        <v>0</v>
      </c>
      <c r="BE84" s="2">
        <f>ROUND(SUMIF(AA72:AA82,"=90163004",GM72:GM82),2)</f>
        <v>2270463</v>
      </c>
      <c r="BF84" s="2">
        <f>ROUND(SUMIF(AA72:AA82,"=90163004",GN72:GN82),2)</f>
        <v>2151009.71</v>
      </c>
      <c r="BG84" s="2">
        <f>ROUND(SUMIF(AA72:AA82,"=90163004",GO72:GO82),2)</f>
        <v>0</v>
      </c>
      <c r="BH84" s="2">
        <f>ROUND(SUMIF(AA72:AA82,"=90163004",GP72:GP82),2)</f>
        <v>119453.29</v>
      </c>
      <c r="BI84" s="2">
        <f>AC84-BB84</f>
        <v>983181.11</v>
      </c>
      <c r="BJ84" s="2">
        <f>AC84-BC84</f>
        <v>983181.11</v>
      </c>
      <c r="BK84" s="2">
        <f>BB84-BD84</f>
        <v>0</v>
      </c>
      <c r="BL84" s="2">
        <f>AC84-BB84-BC84+BD84</f>
        <v>983181.11</v>
      </c>
      <c r="BM84" s="2">
        <f>BC84-BD84</f>
        <v>0</v>
      </c>
      <c r="BN84" s="2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>
        <v>0</v>
      </c>
    </row>
    <row r="86" spans="1:205" x14ac:dyDescent="0.2">
      <c r="A86" s="4">
        <v>50</v>
      </c>
      <c r="B86" s="4">
        <v>0</v>
      </c>
      <c r="C86" s="4">
        <v>0</v>
      </c>
      <c r="D86" s="4">
        <v>1</v>
      </c>
      <c r="E86" s="4">
        <v>201</v>
      </c>
      <c r="F86" s="4">
        <f>ROUND(Source!O84,O86)</f>
        <v>2227899.85</v>
      </c>
      <c r="G86" s="4" t="s">
        <v>90</v>
      </c>
      <c r="H86" s="4" t="s">
        <v>91</v>
      </c>
      <c r="I86" s="4"/>
      <c r="J86" s="4"/>
      <c r="K86" s="4">
        <v>201</v>
      </c>
      <c r="L86" s="4">
        <v>1</v>
      </c>
      <c r="M86" s="4">
        <v>3</v>
      </c>
      <c r="N86" s="4" t="s">
        <v>3</v>
      </c>
      <c r="O86" s="4">
        <v>2</v>
      </c>
      <c r="P86" s="4"/>
    </row>
    <row r="87" spans="1:205" x14ac:dyDescent="0.2">
      <c r="A87" s="4">
        <v>50</v>
      </c>
      <c r="B87" s="4">
        <v>0</v>
      </c>
      <c r="C87" s="4">
        <v>0</v>
      </c>
      <c r="D87" s="4">
        <v>1</v>
      </c>
      <c r="E87" s="4">
        <v>202</v>
      </c>
      <c r="F87" s="4">
        <f>ROUND(Source!P84,O87)</f>
        <v>983181.11</v>
      </c>
      <c r="G87" s="4" t="s">
        <v>92</v>
      </c>
      <c r="H87" s="4" t="s">
        <v>93</v>
      </c>
      <c r="I87" s="4"/>
      <c r="J87" s="4"/>
      <c r="K87" s="4">
        <v>202</v>
      </c>
      <c r="L87" s="4">
        <v>2</v>
      </c>
      <c r="M87" s="4">
        <v>3</v>
      </c>
      <c r="N87" s="4" t="s">
        <v>3</v>
      </c>
      <c r="O87" s="4">
        <v>2</v>
      </c>
      <c r="P87" s="4"/>
    </row>
    <row r="88" spans="1:205" x14ac:dyDescent="0.2">
      <c r="A88" s="4">
        <v>50</v>
      </c>
      <c r="B88" s="4">
        <v>0</v>
      </c>
      <c r="C88" s="4">
        <v>0</v>
      </c>
      <c r="D88" s="4">
        <v>1</v>
      </c>
      <c r="E88" s="4">
        <v>222</v>
      </c>
      <c r="F88" s="4">
        <f>ROUND(Source!AO84,O88)</f>
        <v>0</v>
      </c>
      <c r="G88" s="4" t="s">
        <v>94</v>
      </c>
      <c r="H88" s="4" t="s">
        <v>95</v>
      </c>
      <c r="I88" s="4"/>
      <c r="J88" s="4"/>
      <c r="K88" s="4">
        <v>222</v>
      </c>
      <c r="L88" s="4">
        <v>3</v>
      </c>
      <c r="M88" s="4">
        <v>3</v>
      </c>
      <c r="N88" s="4" t="s">
        <v>3</v>
      </c>
      <c r="O88" s="4">
        <v>2</v>
      </c>
      <c r="P88" s="4"/>
    </row>
    <row r="89" spans="1:205" x14ac:dyDescent="0.2">
      <c r="A89" s="4">
        <v>50</v>
      </c>
      <c r="B89" s="4">
        <v>0</v>
      </c>
      <c r="C89" s="4">
        <v>0</v>
      </c>
      <c r="D89" s="4">
        <v>1</v>
      </c>
      <c r="E89" s="4">
        <v>225</v>
      </c>
      <c r="F89" s="4">
        <f>ROUND(Source!AV84,O89)</f>
        <v>983181.11</v>
      </c>
      <c r="G89" s="4" t="s">
        <v>96</v>
      </c>
      <c r="H89" s="4" t="s">
        <v>97</v>
      </c>
      <c r="I89" s="4"/>
      <c r="J89" s="4"/>
      <c r="K89" s="4">
        <v>225</v>
      </c>
      <c r="L89" s="4">
        <v>4</v>
      </c>
      <c r="M89" s="4">
        <v>3</v>
      </c>
      <c r="N89" s="4" t="s">
        <v>3</v>
      </c>
      <c r="O89" s="4">
        <v>2</v>
      </c>
      <c r="P89" s="4"/>
    </row>
    <row r="90" spans="1:205" x14ac:dyDescent="0.2">
      <c r="A90" s="4">
        <v>50</v>
      </c>
      <c r="B90" s="4">
        <v>0</v>
      </c>
      <c r="C90" s="4">
        <v>0</v>
      </c>
      <c r="D90" s="4">
        <v>1</v>
      </c>
      <c r="E90" s="4">
        <v>226</v>
      </c>
      <c r="F90" s="4">
        <f>ROUND(Source!AW84,O90)</f>
        <v>983181.11</v>
      </c>
      <c r="G90" s="4" t="s">
        <v>98</v>
      </c>
      <c r="H90" s="4" t="s">
        <v>99</v>
      </c>
      <c r="I90" s="4"/>
      <c r="J90" s="4"/>
      <c r="K90" s="4">
        <v>226</v>
      </c>
      <c r="L90" s="4">
        <v>5</v>
      </c>
      <c r="M90" s="4">
        <v>3</v>
      </c>
      <c r="N90" s="4" t="s">
        <v>3</v>
      </c>
      <c r="O90" s="4">
        <v>2</v>
      </c>
      <c r="P90" s="4"/>
    </row>
    <row r="91" spans="1:205" x14ac:dyDescent="0.2">
      <c r="A91" s="4">
        <v>50</v>
      </c>
      <c r="B91" s="4">
        <v>0</v>
      </c>
      <c r="C91" s="4">
        <v>0</v>
      </c>
      <c r="D91" s="4">
        <v>1</v>
      </c>
      <c r="E91" s="4">
        <v>227</v>
      </c>
      <c r="F91" s="4">
        <f>ROUND(Source!AX84,O91)</f>
        <v>0</v>
      </c>
      <c r="G91" s="4" t="s">
        <v>100</v>
      </c>
      <c r="H91" s="4" t="s">
        <v>101</v>
      </c>
      <c r="I91" s="4"/>
      <c r="J91" s="4"/>
      <c r="K91" s="4">
        <v>227</v>
      </c>
      <c r="L91" s="4">
        <v>6</v>
      </c>
      <c r="M91" s="4">
        <v>3</v>
      </c>
      <c r="N91" s="4" t="s">
        <v>3</v>
      </c>
      <c r="O91" s="4">
        <v>2</v>
      </c>
      <c r="P91" s="4"/>
    </row>
    <row r="92" spans="1:205" x14ac:dyDescent="0.2">
      <c r="A92" s="4">
        <v>50</v>
      </c>
      <c r="B92" s="4">
        <v>0</v>
      </c>
      <c r="C92" s="4">
        <v>0</v>
      </c>
      <c r="D92" s="4">
        <v>1</v>
      </c>
      <c r="E92" s="4">
        <v>228</v>
      </c>
      <c r="F92" s="4">
        <f>ROUND(Source!AY84,O92)</f>
        <v>983181.11</v>
      </c>
      <c r="G92" s="4" t="s">
        <v>102</v>
      </c>
      <c r="H92" s="4" t="s">
        <v>103</v>
      </c>
      <c r="I92" s="4"/>
      <c r="J92" s="4"/>
      <c r="K92" s="4">
        <v>228</v>
      </c>
      <c r="L92" s="4">
        <v>7</v>
      </c>
      <c r="M92" s="4">
        <v>3</v>
      </c>
      <c r="N92" s="4" t="s">
        <v>3</v>
      </c>
      <c r="O92" s="4">
        <v>2</v>
      </c>
      <c r="P92" s="4"/>
    </row>
    <row r="93" spans="1:205" x14ac:dyDescent="0.2">
      <c r="A93" s="4">
        <v>50</v>
      </c>
      <c r="B93" s="4">
        <v>0</v>
      </c>
      <c r="C93" s="4">
        <v>0</v>
      </c>
      <c r="D93" s="4">
        <v>1</v>
      </c>
      <c r="E93" s="4">
        <v>216</v>
      </c>
      <c r="F93" s="4">
        <f>ROUND(Source!AP84,O93)</f>
        <v>0</v>
      </c>
      <c r="G93" s="4" t="s">
        <v>104</v>
      </c>
      <c r="H93" s="4" t="s">
        <v>105</v>
      </c>
      <c r="I93" s="4"/>
      <c r="J93" s="4"/>
      <c r="K93" s="4">
        <v>216</v>
      </c>
      <c r="L93" s="4">
        <v>8</v>
      </c>
      <c r="M93" s="4">
        <v>3</v>
      </c>
      <c r="N93" s="4" t="s">
        <v>3</v>
      </c>
      <c r="O93" s="4">
        <v>2</v>
      </c>
      <c r="P93" s="4"/>
    </row>
    <row r="94" spans="1:205" x14ac:dyDescent="0.2">
      <c r="A94" s="4">
        <v>50</v>
      </c>
      <c r="B94" s="4">
        <v>0</v>
      </c>
      <c r="C94" s="4">
        <v>0</v>
      </c>
      <c r="D94" s="4">
        <v>1</v>
      </c>
      <c r="E94" s="4">
        <v>223</v>
      </c>
      <c r="F94" s="4">
        <f>ROUND(Source!AQ84,O94)</f>
        <v>0</v>
      </c>
      <c r="G94" s="4" t="s">
        <v>106</v>
      </c>
      <c r="H94" s="4" t="s">
        <v>107</v>
      </c>
      <c r="I94" s="4"/>
      <c r="J94" s="4"/>
      <c r="K94" s="4">
        <v>223</v>
      </c>
      <c r="L94" s="4">
        <v>9</v>
      </c>
      <c r="M94" s="4">
        <v>3</v>
      </c>
      <c r="N94" s="4" t="s">
        <v>3</v>
      </c>
      <c r="O94" s="4">
        <v>2</v>
      </c>
      <c r="P94" s="4"/>
    </row>
    <row r="95" spans="1:205" x14ac:dyDescent="0.2">
      <c r="A95" s="4">
        <v>50</v>
      </c>
      <c r="B95" s="4">
        <v>0</v>
      </c>
      <c r="C95" s="4">
        <v>0</v>
      </c>
      <c r="D95" s="4">
        <v>1</v>
      </c>
      <c r="E95" s="4">
        <v>229</v>
      </c>
      <c r="F95" s="4">
        <f>ROUND(Source!AZ84,O95)</f>
        <v>0</v>
      </c>
      <c r="G95" s="4" t="s">
        <v>108</v>
      </c>
      <c r="H95" s="4" t="s">
        <v>109</v>
      </c>
      <c r="I95" s="4"/>
      <c r="J95" s="4"/>
      <c r="K95" s="4">
        <v>229</v>
      </c>
      <c r="L95" s="4">
        <v>10</v>
      </c>
      <c r="M95" s="4">
        <v>3</v>
      </c>
      <c r="N95" s="4" t="s">
        <v>3</v>
      </c>
      <c r="O95" s="4">
        <v>2</v>
      </c>
      <c r="P95" s="4"/>
    </row>
    <row r="96" spans="1:205" x14ac:dyDescent="0.2">
      <c r="A96" s="4">
        <v>50</v>
      </c>
      <c r="B96" s="4">
        <v>0</v>
      </c>
      <c r="C96" s="4">
        <v>0</v>
      </c>
      <c r="D96" s="4">
        <v>1</v>
      </c>
      <c r="E96" s="4">
        <v>203</v>
      </c>
      <c r="F96" s="4">
        <f>ROUND(Source!Q84,O96)</f>
        <v>382554.37</v>
      </c>
      <c r="G96" s="4" t="s">
        <v>110</v>
      </c>
      <c r="H96" s="4" t="s">
        <v>111</v>
      </c>
      <c r="I96" s="4"/>
      <c r="J96" s="4"/>
      <c r="K96" s="4">
        <v>203</v>
      </c>
      <c r="L96" s="4">
        <v>11</v>
      </c>
      <c r="M96" s="4">
        <v>3</v>
      </c>
      <c r="N96" s="4" t="s">
        <v>3</v>
      </c>
      <c r="O96" s="4">
        <v>2</v>
      </c>
      <c r="P96" s="4"/>
    </row>
    <row r="97" spans="1:118" x14ac:dyDescent="0.2">
      <c r="A97" s="4">
        <v>50</v>
      </c>
      <c r="B97" s="4">
        <v>0</v>
      </c>
      <c r="C97" s="4">
        <v>0</v>
      </c>
      <c r="D97" s="4">
        <v>1</v>
      </c>
      <c r="E97" s="4">
        <v>204</v>
      </c>
      <c r="F97" s="4">
        <f>ROUND(Source!R84,O97)</f>
        <v>8687.1</v>
      </c>
      <c r="G97" s="4" t="s">
        <v>112</v>
      </c>
      <c r="H97" s="4" t="s">
        <v>113</v>
      </c>
      <c r="I97" s="4"/>
      <c r="J97" s="4"/>
      <c r="K97" s="4">
        <v>204</v>
      </c>
      <c r="L97" s="4">
        <v>12</v>
      </c>
      <c r="M97" s="4">
        <v>3</v>
      </c>
      <c r="N97" s="4" t="s">
        <v>3</v>
      </c>
      <c r="O97" s="4">
        <v>2</v>
      </c>
      <c r="P97" s="4"/>
    </row>
    <row r="98" spans="1:118" x14ac:dyDescent="0.2">
      <c r="A98" s="4">
        <v>50</v>
      </c>
      <c r="B98" s="4">
        <v>0</v>
      </c>
      <c r="C98" s="4">
        <v>0</v>
      </c>
      <c r="D98" s="4">
        <v>1</v>
      </c>
      <c r="E98" s="4">
        <v>205</v>
      </c>
      <c r="F98" s="4">
        <f>ROUND(Source!S84,O98)</f>
        <v>862164.37</v>
      </c>
      <c r="G98" s="4" t="s">
        <v>114</v>
      </c>
      <c r="H98" s="4" t="s">
        <v>115</v>
      </c>
      <c r="I98" s="4"/>
      <c r="J98" s="4"/>
      <c r="K98" s="4">
        <v>205</v>
      </c>
      <c r="L98" s="4">
        <v>13</v>
      </c>
      <c r="M98" s="4">
        <v>3</v>
      </c>
      <c r="N98" s="4" t="s">
        <v>3</v>
      </c>
      <c r="O98" s="4">
        <v>2</v>
      </c>
      <c r="P98" s="4"/>
    </row>
    <row r="99" spans="1:118" x14ac:dyDescent="0.2">
      <c r="A99" s="4">
        <v>50</v>
      </c>
      <c r="B99" s="4">
        <v>0</v>
      </c>
      <c r="C99" s="4">
        <v>0</v>
      </c>
      <c r="D99" s="4">
        <v>1</v>
      </c>
      <c r="E99" s="4">
        <v>214</v>
      </c>
      <c r="F99" s="4">
        <f>ROUND(Source!AS84,O99)</f>
        <v>2151009.71</v>
      </c>
      <c r="G99" s="4" t="s">
        <v>116</v>
      </c>
      <c r="H99" s="4" t="s">
        <v>117</v>
      </c>
      <c r="I99" s="4"/>
      <c r="J99" s="4"/>
      <c r="K99" s="4">
        <v>214</v>
      </c>
      <c r="L99" s="4">
        <v>14</v>
      </c>
      <c r="M99" s="4">
        <v>3</v>
      </c>
      <c r="N99" s="4" t="s">
        <v>3</v>
      </c>
      <c r="O99" s="4">
        <v>2</v>
      </c>
      <c r="P99" s="4"/>
    </row>
    <row r="100" spans="1:118" x14ac:dyDescent="0.2">
      <c r="A100" s="4">
        <v>50</v>
      </c>
      <c r="B100" s="4">
        <v>0</v>
      </c>
      <c r="C100" s="4">
        <v>0</v>
      </c>
      <c r="D100" s="4">
        <v>1</v>
      </c>
      <c r="E100" s="4">
        <v>215</v>
      </c>
      <c r="F100" s="4">
        <f>ROUND(Source!AT84,O100)</f>
        <v>0</v>
      </c>
      <c r="G100" s="4" t="s">
        <v>118</v>
      </c>
      <c r="H100" s="4" t="s">
        <v>119</v>
      </c>
      <c r="I100" s="4"/>
      <c r="J100" s="4"/>
      <c r="K100" s="4">
        <v>215</v>
      </c>
      <c r="L100" s="4">
        <v>15</v>
      </c>
      <c r="M100" s="4">
        <v>3</v>
      </c>
      <c r="N100" s="4" t="s">
        <v>3</v>
      </c>
      <c r="O100" s="4">
        <v>2</v>
      </c>
      <c r="P100" s="4"/>
    </row>
    <row r="101" spans="1:118" x14ac:dyDescent="0.2">
      <c r="A101" s="4">
        <v>50</v>
      </c>
      <c r="B101" s="4">
        <v>0</v>
      </c>
      <c r="C101" s="4">
        <v>0</v>
      </c>
      <c r="D101" s="4">
        <v>1</v>
      </c>
      <c r="E101" s="4">
        <v>217</v>
      </c>
      <c r="F101" s="4">
        <f>ROUND(Source!AU84,O101)</f>
        <v>119453.29</v>
      </c>
      <c r="G101" s="4" t="s">
        <v>120</v>
      </c>
      <c r="H101" s="4" t="s">
        <v>121</v>
      </c>
      <c r="I101" s="4"/>
      <c r="J101" s="4"/>
      <c r="K101" s="4">
        <v>217</v>
      </c>
      <c r="L101" s="4">
        <v>16</v>
      </c>
      <c r="M101" s="4">
        <v>3</v>
      </c>
      <c r="N101" s="4" t="s">
        <v>3</v>
      </c>
      <c r="O101" s="4">
        <v>2</v>
      </c>
      <c r="P101" s="4"/>
    </row>
    <row r="102" spans="1:118" x14ac:dyDescent="0.2">
      <c r="A102" s="4">
        <v>50</v>
      </c>
      <c r="B102" s="4">
        <v>0</v>
      </c>
      <c r="C102" s="4">
        <v>0</v>
      </c>
      <c r="D102" s="4">
        <v>1</v>
      </c>
      <c r="E102" s="4">
        <v>206</v>
      </c>
      <c r="F102" s="4">
        <f>ROUND(Source!T84,O102)</f>
        <v>0</v>
      </c>
      <c r="G102" s="4" t="s">
        <v>122</v>
      </c>
      <c r="H102" s="4" t="s">
        <v>123</v>
      </c>
      <c r="I102" s="4"/>
      <c r="J102" s="4"/>
      <c r="K102" s="4">
        <v>206</v>
      </c>
      <c r="L102" s="4">
        <v>17</v>
      </c>
      <c r="M102" s="4">
        <v>3</v>
      </c>
      <c r="N102" s="4" t="s">
        <v>3</v>
      </c>
      <c r="O102" s="4">
        <v>2</v>
      </c>
      <c r="P102" s="4"/>
    </row>
    <row r="103" spans="1:118" x14ac:dyDescent="0.2">
      <c r="A103" s="4">
        <v>50</v>
      </c>
      <c r="B103" s="4">
        <v>0</v>
      </c>
      <c r="C103" s="4">
        <v>0</v>
      </c>
      <c r="D103" s="4">
        <v>1</v>
      </c>
      <c r="E103" s="4">
        <v>207</v>
      </c>
      <c r="F103" s="4">
        <f>Source!U84</f>
        <v>57.354546086399999</v>
      </c>
      <c r="G103" s="4" t="s">
        <v>124</v>
      </c>
      <c r="H103" s="4" t="s">
        <v>125</v>
      </c>
      <c r="I103" s="4"/>
      <c r="J103" s="4"/>
      <c r="K103" s="4">
        <v>207</v>
      </c>
      <c r="L103" s="4">
        <v>18</v>
      </c>
      <c r="M103" s="4">
        <v>3</v>
      </c>
      <c r="N103" s="4" t="s">
        <v>3</v>
      </c>
      <c r="O103" s="4">
        <v>-1</v>
      </c>
      <c r="P103" s="4"/>
    </row>
    <row r="104" spans="1:118" x14ac:dyDescent="0.2">
      <c r="A104" s="4">
        <v>50</v>
      </c>
      <c r="B104" s="4">
        <v>0</v>
      </c>
      <c r="C104" s="4">
        <v>0</v>
      </c>
      <c r="D104" s="4">
        <v>1</v>
      </c>
      <c r="E104" s="4">
        <v>208</v>
      </c>
      <c r="F104" s="4">
        <f>Source!V84</f>
        <v>0</v>
      </c>
      <c r="G104" s="4" t="s">
        <v>126</v>
      </c>
      <c r="H104" s="4" t="s">
        <v>127</v>
      </c>
      <c r="I104" s="4"/>
      <c r="J104" s="4"/>
      <c r="K104" s="4">
        <v>208</v>
      </c>
      <c r="L104" s="4">
        <v>19</v>
      </c>
      <c r="M104" s="4">
        <v>3</v>
      </c>
      <c r="N104" s="4" t="s">
        <v>3</v>
      </c>
      <c r="O104" s="4">
        <v>-1</v>
      </c>
      <c r="P104" s="4"/>
    </row>
    <row r="105" spans="1:118" x14ac:dyDescent="0.2">
      <c r="A105" s="4">
        <v>50</v>
      </c>
      <c r="B105" s="4">
        <v>0</v>
      </c>
      <c r="C105" s="4">
        <v>0</v>
      </c>
      <c r="D105" s="4">
        <v>1</v>
      </c>
      <c r="E105" s="4">
        <v>209</v>
      </c>
      <c r="F105" s="4">
        <f>ROUND(Source!W84,O105)</f>
        <v>172.55</v>
      </c>
      <c r="G105" s="4" t="s">
        <v>128</v>
      </c>
      <c r="H105" s="4" t="s">
        <v>129</v>
      </c>
      <c r="I105" s="4"/>
      <c r="J105" s="4"/>
      <c r="K105" s="4">
        <v>209</v>
      </c>
      <c r="L105" s="4">
        <v>20</v>
      </c>
      <c r="M105" s="4">
        <v>3</v>
      </c>
      <c r="N105" s="4" t="s">
        <v>3</v>
      </c>
      <c r="O105" s="4">
        <v>2</v>
      </c>
      <c r="P105" s="4"/>
    </row>
    <row r="106" spans="1:118" x14ac:dyDescent="0.2">
      <c r="A106" s="4">
        <v>50</v>
      </c>
      <c r="B106" s="4">
        <v>0</v>
      </c>
      <c r="C106" s="4">
        <v>0</v>
      </c>
      <c r="D106" s="4">
        <v>1</v>
      </c>
      <c r="E106" s="4">
        <v>210</v>
      </c>
      <c r="F106" s="4">
        <f>ROUND(Source!X84,O106)</f>
        <v>18578.990000000002</v>
      </c>
      <c r="G106" s="4" t="s">
        <v>130</v>
      </c>
      <c r="H106" s="4" t="s">
        <v>131</v>
      </c>
      <c r="I106" s="4"/>
      <c r="J106" s="4"/>
      <c r="K106" s="4">
        <v>210</v>
      </c>
      <c r="L106" s="4">
        <v>21</v>
      </c>
      <c r="M106" s="4">
        <v>3</v>
      </c>
      <c r="N106" s="4" t="s">
        <v>3</v>
      </c>
      <c r="O106" s="4">
        <v>2</v>
      </c>
      <c r="P106" s="4"/>
    </row>
    <row r="107" spans="1:118" x14ac:dyDescent="0.2">
      <c r="A107" s="4">
        <v>50</v>
      </c>
      <c r="B107" s="4">
        <v>0</v>
      </c>
      <c r="C107" s="4">
        <v>0</v>
      </c>
      <c r="D107" s="4">
        <v>1</v>
      </c>
      <c r="E107" s="4">
        <v>211</v>
      </c>
      <c r="F107" s="4">
        <f>ROUND(Source!Y84,O107)</f>
        <v>9476.7000000000007</v>
      </c>
      <c r="G107" s="4" t="s">
        <v>132</v>
      </c>
      <c r="H107" s="4" t="s">
        <v>133</v>
      </c>
      <c r="I107" s="4"/>
      <c r="J107" s="4"/>
      <c r="K107" s="4">
        <v>211</v>
      </c>
      <c r="L107" s="4">
        <v>22</v>
      </c>
      <c r="M107" s="4">
        <v>3</v>
      </c>
      <c r="N107" s="4" t="s">
        <v>3</v>
      </c>
      <c r="O107" s="4">
        <v>2</v>
      </c>
      <c r="P107" s="4"/>
    </row>
    <row r="108" spans="1:118" x14ac:dyDescent="0.2">
      <c r="A108" s="4">
        <v>50</v>
      </c>
      <c r="B108" s="4">
        <v>0</v>
      </c>
      <c r="C108" s="4">
        <v>0</v>
      </c>
      <c r="D108" s="4">
        <v>1</v>
      </c>
      <c r="E108" s="4">
        <v>224</v>
      </c>
      <c r="F108" s="4">
        <f>ROUND(Source!AR84,O108)</f>
        <v>2270463</v>
      </c>
      <c r="G108" s="4" t="s">
        <v>134</v>
      </c>
      <c r="H108" s="4" t="s">
        <v>135</v>
      </c>
      <c r="I108" s="4"/>
      <c r="J108" s="4"/>
      <c r="K108" s="4">
        <v>224</v>
      </c>
      <c r="L108" s="4">
        <v>23</v>
      </c>
      <c r="M108" s="4">
        <v>3</v>
      </c>
      <c r="N108" s="4" t="s">
        <v>3</v>
      </c>
      <c r="O108" s="4">
        <v>2</v>
      </c>
      <c r="P108" s="4"/>
    </row>
    <row r="110" spans="1:118" x14ac:dyDescent="0.2">
      <c r="A110" s="1">
        <v>4</v>
      </c>
      <c r="B110" s="1">
        <v>1</v>
      </c>
      <c r="C110" s="1"/>
      <c r="D110" s="1">
        <f>ROW(A128)</f>
        <v>128</v>
      </c>
      <c r="E110" s="1"/>
      <c r="F110" s="1" t="s">
        <v>13</v>
      </c>
      <c r="G110" s="1" t="s">
        <v>159</v>
      </c>
      <c r="H110" s="1" t="s">
        <v>3</v>
      </c>
      <c r="I110" s="1">
        <v>0</v>
      </c>
      <c r="J110" s="1"/>
      <c r="K110" s="1">
        <v>0</v>
      </c>
      <c r="L110" s="1"/>
      <c r="M110" s="1"/>
      <c r="N110" s="1"/>
      <c r="O110" s="1"/>
      <c r="P110" s="1"/>
      <c r="Q110" s="1"/>
      <c r="R110" s="1"/>
      <c r="S110" s="1"/>
      <c r="T110" s="1"/>
      <c r="U110" s="1" t="s">
        <v>3</v>
      </c>
      <c r="V110" s="1">
        <v>0</v>
      </c>
      <c r="W110" s="1"/>
      <c r="X110" s="1"/>
      <c r="Y110" s="1"/>
      <c r="Z110" s="1"/>
      <c r="AA110" s="1"/>
      <c r="AB110" s="1" t="s">
        <v>3</v>
      </c>
      <c r="AC110" s="1" t="s">
        <v>3</v>
      </c>
      <c r="AD110" s="1" t="s">
        <v>3</v>
      </c>
      <c r="AE110" s="1" t="s">
        <v>3</v>
      </c>
      <c r="AF110" s="1" t="s">
        <v>3</v>
      </c>
      <c r="AG110" s="1" t="s">
        <v>3</v>
      </c>
      <c r="AH110" s="1"/>
      <c r="AI110" s="1"/>
      <c r="AJ110" s="1"/>
      <c r="AK110" s="1"/>
      <c r="AL110" s="1"/>
      <c r="AM110" s="1"/>
      <c r="AN110" s="1"/>
      <c r="AO110" s="1"/>
      <c r="AP110" s="1" t="s">
        <v>3</v>
      </c>
      <c r="AQ110" s="1" t="s">
        <v>3</v>
      </c>
      <c r="AR110" s="1" t="s">
        <v>3</v>
      </c>
      <c r="AS110" s="1"/>
      <c r="AT110" s="1"/>
      <c r="AU110" s="1"/>
      <c r="AV110" s="1"/>
      <c r="AW110" s="1"/>
      <c r="AX110" s="1"/>
      <c r="AY110" s="1"/>
      <c r="AZ110" s="1" t="s">
        <v>3</v>
      </c>
      <c r="BA110" s="1"/>
      <c r="BB110" s="1" t="s">
        <v>3</v>
      </c>
      <c r="BC110" s="1" t="s">
        <v>3</v>
      </c>
      <c r="BD110" s="1" t="s">
        <v>3</v>
      </c>
      <c r="BE110" s="1" t="s">
        <v>3</v>
      </c>
      <c r="BF110" s="1" t="s">
        <v>3</v>
      </c>
      <c r="BG110" s="1" t="s">
        <v>3</v>
      </c>
      <c r="BH110" s="1" t="s">
        <v>3</v>
      </c>
      <c r="BI110" s="1" t="s">
        <v>3</v>
      </c>
      <c r="BJ110" s="1" t="s">
        <v>3</v>
      </c>
      <c r="BK110" s="1" t="s">
        <v>3</v>
      </c>
      <c r="BL110" s="1" t="s">
        <v>3</v>
      </c>
      <c r="BM110" s="1" t="s">
        <v>3</v>
      </c>
      <c r="BN110" s="1" t="s">
        <v>3</v>
      </c>
      <c r="BO110" s="1" t="s">
        <v>3</v>
      </c>
      <c r="BP110" s="1" t="s">
        <v>3</v>
      </c>
      <c r="BQ110" s="1"/>
      <c r="BR110" s="1"/>
      <c r="BS110" s="1"/>
      <c r="BT110" s="1"/>
      <c r="BU110" s="1"/>
      <c r="BV110" s="1"/>
      <c r="BW110" s="1"/>
      <c r="BX110" s="1">
        <v>0</v>
      </c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>
        <v>0</v>
      </c>
    </row>
    <row r="112" spans="1:118" x14ac:dyDescent="0.2">
      <c r="A112" s="2">
        <v>52</v>
      </c>
      <c r="B112" s="2">
        <f t="shared" ref="B112:G112" si="97">B128</f>
        <v>1</v>
      </c>
      <c r="C112" s="2">
        <f t="shared" si="97"/>
        <v>4</v>
      </c>
      <c r="D112" s="2">
        <f t="shared" si="97"/>
        <v>110</v>
      </c>
      <c r="E112" s="2">
        <f t="shared" si="97"/>
        <v>0</v>
      </c>
      <c r="F112" s="2" t="str">
        <f t="shared" si="97"/>
        <v>Новый раздел</v>
      </c>
      <c r="G112" s="2" t="str">
        <f t="shared" si="97"/>
        <v>Тепловая камера (реконструкция) 5,2х4,6х2,5</v>
      </c>
      <c r="H112" s="2"/>
      <c r="I112" s="2"/>
      <c r="J112" s="2"/>
      <c r="K112" s="2"/>
      <c r="L112" s="2"/>
      <c r="M112" s="2"/>
      <c r="N112" s="2"/>
      <c r="O112" s="2">
        <f t="shared" ref="O112:AT112" si="98">O128</f>
        <v>555414.22</v>
      </c>
      <c r="P112" s="2">
        <f t="shared" si="98"/>
        <v>228781.52</v>
      </c>
      <c r="Q112" s="2">
        <f t="shared" si="98"/>
        <v>114856.92</v>
      </c>
      <c r="R112" s="2">
        <f t="shared" si="98"/>
        <v>1605.04</v>
      </c>
      <c r="S112" s="2">
        <f t="shared" si="98"/>
        <v>211775.78</v>
      </c>
      <c r="T112" s="2">
        <f t="shared" si="98"/>
        <v>0</v>
      </c>
      <c r="U112" s="2">
        <f t="shared" si="98"/>
        <v>75.174420385152004</v>
      </c>
      <c r="V112" s="2">
        <f t="shared" si="98"/>
        <v>0</v>
      </c>
      <c r="W112" s="2">
        <f t="shared" si="98"/>
        <v>41.81</v>
      </c>
      <c r="X112" s="2">
        <f t="shared" si="98"/>
        <v>20640.7</v>
      </c>
      <c r="Y112" s="2">
        <f t="shared" si="98"/>
        <v>9461.1299999999992</v>
      </c>
      <c r="Z112" s="2">
        <f t="shared" si="98"/>
        <v>0</v>
      </c>
      <c r="AA112" s="2">
        <f t="shared" si="98"/>
        <v>0</v>
      </c>
      <c r="AB112" s="2">
        <f t="shared" si="98"/>
        <v>555414.22</v>
      </c>
      <c r="AC112" s="2">
        <f t="shared" si="98"/>
        <v>228781.52</v>
      </c>
      <c r="AD112" s="2">
        <f t="shared" si="98"/>
        <v>114856.92</v>
      </c>
      <c r="AE112" s="2">
        <f t="shared" si="98"/>
        <v>1605.04</v>
      </c>
      <c r="AF112" s="2">
        <f t="shared" si="98"/>
        <v>211775.78</v>
      </c>
      <c r="AG112" s="2">
        <f t="shared" si="98"/>
        <v>0</v>
      </c>
      <c r="AH112" s="2">
        <f t="shared" si="98"/>
        <v>75.174420385152004</v>
      </c>
      <c r="AI112" s="2">
        <f t="shared" si="98"/>
        <v>0</v>
      </c>
      <c r="AJ112" s="2">
        <f t="shared" si="98"/>
        <v>41.81</v>
      </c>
      <c r="AK112" s="2">
        <f t="shared" si="98"/>
        <v>20640.7</v>
      </c>
      <c r="AL112" s="2">
        <f t="shared" si="98"/>
        <v>9461.1299999999992</v>
      </c>
      <c r="AM112" s="2">
        <f t="shared" si="98"/>
        <v>0</v>
      </c>
      <c r="AN112" s="2">
        <f t="shared" si="98"/>
        <v>0</v>
      </c>
      <c r="AO112" s="2">
        <f t="shared" si="98"/>
        <v>0</v>
      </c>
      <c r="AP112" s="2">
        <f t="shared" si="98"/>
        <v>0</v>
      </c>
      <c r="AQ112" s="2">
        <f t="shared" si="98"/>
        <v>0</v>
      </c>
      <c r="AR112" s="2">
        <f t="shared" si="98"/>
        <v>588196.46</v>
      </c>
      <c r="AS112" s="2">
        <f t="shared" si="98"/>
        <v>553509.55000000005</v>
      </c>
      <c r="AT112" s="2">
        <f t="shared" si="98"/>
        <v>0</v>
      </c>
      <c r="AU112" s="2">
        <f t="shared" ref="AU112:BZ112" si="99">AU128</f>
        <v>34686.910000000003</v>
      </c>
      <c r="AV112" s="2">
        <f t="shared" si="99"/>
        <v>228781.52</v>
      </c>
      <c r="AW112" s="2">
        <f t="shared" si="99"/>
        <v>228781.52</v>
      </c>
      <c r="AX112" s="2">
        <f t="shared" si="99"/>
        <v>0</v>
      </c>
      <c r="AY112" s="2">
        <f t="shared" si="99"/>
        <v>228781.52</v>
      </c>
      <c r="AZ112" s="2">
        <f t="shared" si="99"/>
        <v>0</v>
      </c>
      <c r="BA112" s="2">
        <f t="shared" si="99"/>
        <v>0</v>
      </c>
      <c r="BB112" s="2">
        <f t="shared" si="99"/>
        <v>0</v>
      </c>
      <c r="BC112" s="2">
        <f t="shared" si="99"/>
        <v>0</v>
      </c>
      <c r="BD112" s="2">
        <f t="shared" si="99"/>
        <v>0</v>
      </c>
      <c r="BE112" s="2">
        <f t="shared" si="99"/>
        <v>588196.46</v>
      </c>
      <c r="BF112" s="2">
        <f t="shared" si="99"/>
        <v>553509.55000000005</v>
      </c>
      <c r="BG112" s="2">
        <f t="shared" si="99"/>
        <v>0</v>
      </c>
      <c r="BH112" s="2">
        <f t="shared" si="99"/>
        <v>34686.910000000003</v>
      </c>
      <c r="BI112" s="2">
        <f t="shared" si="99"/>
        <v>228781.52</v>
      </c>
      <c r="BJ112" s="2">
        <f t="shared" si="99"/>
        <v>228781.52</v>
      </c>
      <c r="BK112" s="2">
        <f t="shared" si="99"/>
        <v>0</v>
      </c>
      <c r="BL112" s="2">
        <f t="shared" si="99"/>
        <v>228781.52</v>
      </c>
      <c r="BM112" s="2">
        <f t="shared" si="99"/>
        <v>0</v>
      </c>
      <c r="BN112" s="2">
        <f t="shared" si="99"/>
        <v>0</v>
      </c>
      <c r="BO112" s="3">
        <f t="shared" si="99"/>
        <v>0</v>
      </c>
      <c r="BP112" s="3">
        <f t="shared" si="99"/>
        <v>0</v>
      </c>
      <c r="BQ112" s="3">
        <f t="shared" si="99"/>
        <v>0</v>
      </c>
      <c r="BR112" s="3">
        <f t="shared" si="99"/>
        <v>0</v>
      </c>
      <c r="BS112" s="3">
        <f t="shared" si="99"/>
        <v>0</v>
      </c>
      <c r="BT112" s="3">
        <f t="shared" si="99"/>
        <v>0</v>
      </c>
      <c r="BU112" s="3">
        <f t="shared" si="99"/>
        <v>0</v>
      </c>
      <c r="BV112" s="3">
        <f t="shared" si="99"/>
        <v>0</v>
      </c>
      <c r="BW112" s="3">
        <f t="shared" si="99"/>
        <v>0</v>
      </c>
      <c r="BX112" s="3">
        <f t="shared" si="99"/>
        <v>0</v>
      </c>
      <c r="BY112" s="3">
        <f t="shared" si="99"/>
        <v>0</v>
      </c>
      <c r="BZ112" s="3">
        <f t="shared" si="99"/>
        <v>0</v>
      </c>
      <c r="CA112" s="3">
        <f t="shared" ref="CA112:DF112" si="100">CA128</f>
        <v>0</v>
      </c>
      <c r="CB112" s="3">
        <f t="shared" si="100"/>
        <v>0</v>
      </c>
      <c r="CC112" s="3">
        <f t="shared" si="100"/>
        <v>0</v>
      </c>
      <c r="CD112" s="3">
        <f t="shared" si="100"/>
        <v>0</v>
      </c>
      <c r="CE112" s="3">
        <f t="shared" si="100"/>
        <v>0</v>
      </c>
      <c r="CF112" s="3">
        <f t="shared" si="100"/>
        <v>0</v>
      </c>
      <c r="CG112" s="3">
        <f t="shared" si="100"/>
        <v>0</v>
      </c>
      <c r="CH112" s="3">
        <f t="shared" si="100"/>
        <v>0</v>
      </c>
      <c r="CI112" s="3">
        <f t="shared" si="100"/>
        <v>0</v>
      </c>
      <c r="CJ112" s="3">
        <f t="shared" si="100"/>
        <v>0</v>
      </c>
      <c r="CK112" s="3">
        <f t="shared" si="100"/>
        <v>0</v>
      </c>
      <c r="CL112" s="3">
        <f t="shared" si="100"/>
        <v>0</v>
      </c>
      <c r="CM112" s="3">
        <f t="shared" si="100"/>
        <v>0</v>
      </c>
      <c r="CN112" s="3">
        <f t="shared" si="100"/>
        <v>0</v>
      </c>
      <c r="CO112" s="3">
        <f t="shared" si="100"/>
        <v>0</v>
      </c>
      <c r="CP112" s="3">
        <f t="shared" si="100"/>
        <v>0</v>
      </c>
      <c r="CQ112" s="3">
        <f t="shared" si="100"/>
        <v>0</v>
      </c>
      <c r="CR112" s="3">
        <f t="shared" si="100"/>
        <v>0</v>
      </c>
      <c r="CS112" s="3">
        <f t="shared" si="100"/>
        <v>0</v>
      </c>
      <c r="CT112" s="3">
        <f t="shared" si="100"/>
        <v>0</v>
      </c>
      <c r="CU112" s="3">
        <f t="shared" si="100"/>
        <v>0</v>
      </c>
      <c r="CV112" s="3">
        <f t="shared" si="100"/>
        <v>0</v>
      </c>
      <c r="CW112" s="3">
        <f t="shared" si="100"/>
        <v>0</v>
      </c>
      <c r="CX112" s="3">
        <f t="shared" si="100"/>
        <v>0</v>
      </c>
      <c r="CY112" s="3">
        <f t="shared" si="100"/>
        <v>0</v>
      </c>
      <c r="CZ112" s="3">
        <f t="shared" si="100"/>
        <v>0</v>
      </c>
      <c r="DA112" s="3">
        <f t="shared" si="100"/>
        <v>0</v>
      </c>
      <c r="DB112" s="3">
        <f t="shared" si="100"/>
        <v>0</v>
      </c>
      <c r="DC112" s="3">
        <f t="shared" si="100"/>
        <v>0</v>
      </c>
      <c r="DD112" s="3">
        <f t="shared" si="100"/>
        <v>0</v>
      </c>
      <c r="DE112" s="3">
        <f t="shared" si="100"/>
        <v>0</v>
      </c>
      <c r="DF112" s="3">
        <f t="shared" si="100"/>
        <v>0</v>
      </c>
      <c r="DG112" s="3">
        <f t="shared" ref="DG112:DN112" si="101">DG128</f>
        <v>0</v>
      </c>
      <c r="DH112" s="3">
        <f t="shared" si="101"/>
        <v>0</v>
      </c>
      <c r="DI112" s="3">
        <f t="shared" si="101"/>
        <v>0</v>
      </c>
      <c r="DJ112" s="3">
        <f t="shared" si="101"/>
        <v>0</v>
      </c>
      <c r="DK112" s="3">
        <f t="shared" si="101"/>
        <v>0</v>
      </c>
      <c r="DL112" s="3">
        <f t="shared" si="101"/>
        <v>0</v>
      </c>
      <c r="DM112" s="3">
        <f t="shared" si="101"/>
        <v>0</v>
      </c>
      <c r="DN112" s="3">
        <f t="shared" si="101"/>
        <v>0</v>
      </c>
    </row>
    <row r="114" spans="1:205" x14ac:dyDescent="0.2">
      <c r="A114">
        <v>17</v>
      </c>
      <c r="B114">
        <v>1</v>
      </c>
      <c r="C114">
        <f>ROW(SmtRes!A44)</f>
        <v>44</v>
      </c>
      <c r="D114">
        <f>ROW(EtalonRes!A42)</f>
        <v>42</v>
      </c>
      <c r="E114" t="s">
        <v>160</v>
      </c>
      <c r="F114" t="s">
        <v>161</v>
      </c>
      <c r="G114" t="s">
        <v>162</v>
      </c>
      <c r="H114" t="s">
        <v>63</v>
      </c>
      <c r="I114">
        <f>ROUND(((5.2+4.6)*2*2.5*0.4+5.2*4.6*0.22*2)*0.3/100,9)</f>
        <v>9.0374399999999994E-2</v>
      </c>
      <c r="J114">
        <v>0</v>
      </c>
      <c r="O114">
        <f t="shared" ref="O114:O126" si="102">ROUND(CP114,2)</f>
        <v>16146.25</v>
      </c>
      <c r="P114">
        <f t="shared" ref="P114:P126" si="103">ROUND(CQ114*I114,2)</f>
        <v>0</v>
      </c>
      <c r="Q114">
        <f t="shared" ref="Q114:Q126" si="104">ROUND(CR114*I114,2)</f>
        <v>447.03</v>
      </c>
      <c r="R114">
        <f t="shared" ref="R114:R126" si="105">ROUND(CS114*I114,2)</f>
        <v>165.14</v>
      </c>
      <c r="S114">
        <f t="shared" ref="S114:S126" si="106">ROUND(CT114*I114,2)</f>
        <v>15699.22</v>
      </c>
      <c r="T114">
        <f t="shared" ref="T114:T126" si="107">ROUND(CU114*I114,2)</f>
        <v>0</v>
      </c>
      <c r="U114">
        <f t="shared" ref="U114:U126" si="108">CV114*I114</f>
        <v>74.742618385151999</v>
      </c>
      <c r="V114">
        <f t="shared" ref="V114:V126" si="109">CW114*I114</f>
        <v>0</v>
      </c>
      <c r="W114">
        <f t="shared" ref="W114:W126" si="110">ROUND(CX114*I114,2)</f>
        <v>0</v>
      </c>
      <c r="X114">
        <f t="shared" ref="X114:X126" si="111">ROUND(CY114,2)</f>
        <v>20565.98</v>
      </c>
      <c r="Y114">
        <f t="shared" ref="Y114:Y126" si="112">ROUND(CZ114,2)</f>
        <v>9419.5300000000007</v>
      </c>
      <c r="AA114">
        <v>90163004</v>
      </c>
      <c r="AB114">
        <f t="shared" ref="AB114:AB126" si="113">ROUND((AC114+AD114+AF114),6)</f>
        <v>9720.3060000000005</v>
      </c>
      <c r="AC114">
        <f>ROUND(((ES114*0)),6)</f>
        <v>0</v>
      </c>
      <c r="AD114">
        <f>ROUND(((ET114*1.15*0.8)),6)</f>
        <v>567.4008</v>
      </c>
      <c r="AE114">
        <f>ROUND(((EU114*1.15*0.8)),6)</f>
        <v>96.278000000000006</v>
      </c>
      <c r="AF114">
        <f>ROUND(((EV114*1.15*0.8)),6)</f>
        <v>9152.9051999999992</v>
      </c>
      <c r="AG114">
        <f t="shared" ref="AG114:AG126" si="114">ROUND((AP114),6)</f>
        <v>0</v>
      </c>
      <c r="AH114">
        <f>((EW114*1.15*0.8))</f>
        <v>760.84</v>
      </c>
      <c r="AI114">
        <f>((EX114*1.15*0.8))</f>
        <v>0</v>
      </c>
      <c r="AJ114">
        <f t="shared" ref="AJ114:AJ126" si="115">ROUND((AS114),6)</f>
        <v>0</v>
      </c>
      <c r="AK114">
        <v>15403.55</v>
      </c>
      <c r="AL114">
        <v>4838</v>
      </c>
      <c r="AM114">
        <v>616.74</v>
      </c>
      <c r="AN114">
        <v>104.65</v>
      </c>
      <c r="AO114">
        <v>9948.81</v>
      </c>
      <c r="AP114">
        <v>0</v>
      </c>
      <c r="AQ114">
        <v>827</v>
      </c>
      <c r="AR114">
        <v>0</v>
      </c>
      <c r="AS114">
        <v>0</v>
      </c>
      <c r="AT114">
        <v>131</v>
      </c>
      <c r="AU114">
        <v>60</v>
      </c>
      <c r="AV114">
        <v>1.087</v>
      </c>
      <c r="AW114">
        <v>1.0029999999999999</v>
      </c>
      <c r="AZ114">
        <v>1</v>
      </c>
      <c r="BA114">
        <v>17.46</v>
      </c>
      <c r="BB114">
        <v>8.02</v>
      </c>
      <c r="BC114">
        <v>4.3499999999999996</v>
      </c>
      <c r="BD114" t="s">
        <v>3</v>
      </c>
      <c r="BE114" t="s">
        <v>3</v>
      </c>
      <c r="BF114" t="s">
        <v>3</v>
      </c>
      <c r="BG114" t="s">
        <v>3</v>
      </c>
      <c r="BH114">
        <v>0</v>
      </c>
      <c r="BI114">
        <v>1</v>
      </c>
      <c r="BJ114" t="s">
        <v>163</v>
      </c>
      <c r="BM114">
        <v>58</v>
      </c>
      <c r="BN114">
        <v>0</v>
      </c>
      <c r="BO114" t="s">
        <v>161</v>
      </c>
      <c r="BP114">
        <v>1</v>
      </c>
      <c r="BQ114">
        <v>30</v>
      </c>
      <c r="BR114">
        <v>0</v>
      </c>
      <c r="BS114">
        <v>17.46</v>
      </c>
      <c r="BT114">
        <v>1</v>
      </c>
      <c r="BU114">
        <v>1</v>
      </c>
      <c r="BV114">
        <v>1</v>
      </c>
      <c r="BW114">
        <v>1</v>
      </c>
      <c r="BX114">
        <v>1</v>
      </c>
      <c r="BY114" t="s">
        <v>3</v>
      </c>
      <c r="BZ114">
        <v>131</v>
      </c>
      <c r="CA114">
        <v>60</v>
      </c>
      <c r="CF114">
        <v>0</v>
      </c>
      <c r="CG114">
        <v>0</v>
      </c>
      <c r="CM114">
        <v>0</v>
      </c>
      <c r="CN114" t="s">
        <v>3</v>
      </c>
      <c r="CO114">
        <v>0</v>
      </c>
      <c r="CP114">
        <f t="shared" ref="CP114:CP126" si="116">(P114+Q114+S114)</f>
        <v>16146.25</v>
      </c>
      <c r="CQ114">
        <f t="shared" ref="CQ114:CQ126" si="117">(AC114*BC114*AW114)</f>
        <v>0</v>
      </c>
      <c r="CR114">
        <f t="shared" ref="CR114:CR126" si="118">(AD114*BB114*AV114)</f>
        <v>4946.452650192</v>
      </c>
      <c r="CS114">
        <f t="shared" ref="CS114:CS126" si="119">(AE114*BS114*AV114)</f>
        <v>1827.2620875600001</v>
      </c>
      <c r="CT114">
        <f t="shared" ref="CT114:CT126" si="120">(AF114*BA114*AV114)</f>
        <v>173713.17084890397</v>
      </c>
      <c r="CU114">
        <f t="shared" ref="CU114:CU126" si="121">AG114</f>
        <v>0</v>
      </c>
      <c r="CV114">
        <f t="shared" ref="CV114:CV126" si="122">(AH114*AV114)</f>
        <v>827.03308000000004</v>
      </c>
      <c r="CW114">
        <f t="shared" ref="CW114:CW126" si="123">AI114</f>
        <v>0</v>
      </c>
      <c r="CX114">
        <f t="shared" ref="CX114:CX126" si="124">AJ114</f>
        <v>0</v>
      </c>
      <c r="CY114">
        <f t="shared" ref="CY114:CY126" si="125">S114*(BZ114/100)</f>
        <v>20565.978200000001</v>
      </c>
      <c r="CZ114">
        <f t="shared" ref="CZ114:CZ126" si="126">S114*(CA114/100)</f>
        <v>9419.5319999999992</v>
      </c>
      <c r="DC114" t="s">
        <v>3</v>
      </c>
      <c r="DD114" t="s">
        <v>164</v>
      </c>
      <c r="DE114" t="s">
        <v>165</v>
      </c>
      <c r="DF114" t="s">
        <v>165</v>
      </c>
      <c r="DG114" t="s">
        <v>165</v>
      </c>
      <c r="DH114" t="s">
        <v>3</v>
      </c>
      <c r="DI114" t="s">
        <v>165</v>
      </c>
      <c r="DJ114" t="s">
        <v>165</v>
      </c>
      <c r="DK114" t="s">
        <v>3</v>
      </c>
      <c r="DL114" t="s">
        <v>3</v>
      </c>
      <c r="DM114" t="s">
        <v>3</v>
      </c>
      <c r="DN114">
        <v>159</v>
      </c>
      <c r="DO114">
        <v>119</v>
      </c>
      <c r="DP114">
        <v>1.087</v>
      </c>
      <c r="DQ114">
        <v>1.0029999999999999</v>
      </c>
      <c r="DU114">
        <v>1007</v>
      </c>
      <c r="DV114" t="s">
        <v>63</v>
      </c>
      <c r="DW114" t="s">
        <v>63</v>
      </c>
      <c r="DX114">
        <v>100</v>
      </c>
      <c r="EE114">
        <v>33193814</v>
      </c>
      <c r="EF114">
        <v>30</v>
      </c>
      <c r="EG114" t="s">
        <v>48</v>
      </c>
      <c r="EH114">
        <v>0</v>
      </c>
      <c r="EI114" t="s">
        <v>3</v>
      </c>
      <c r="EJ114">
        <v>1</v>
      </c>
      <c r="EK114">
        <v>58</v>
      </c>
      <c r="EL114" t="s">
        <v>166</v>
      </c>
      <c r="EM114" t="s">
        <v>167</v>
      </c>
      <c r="EO114" t="s">
        <v>3</v>
      </c>
      <c r="EQ114">
        <v>0</v>
      </c>
      <c r="ER114">
        <v>15403.55</v>
      </c>
      <c r="ES114">
        <v>4838</v>
      </c>
      <c r="ET114">
        <v>616.74</v>
      </c>
      <c r="EU114">
        <v>104.65</v>
      </c>
      <c r="EV114">
        <v>9948.81</v>
      </c>
      <c r="EW114">
        <v>827</v>
      </c>
      <c r="EX114">
        <v>0</v>
      </c>
      <c r="EY114">
        <v>0</v>
      </c>
      <c r="FQ114">
        <v>0</v>
      </c>
      <c r="FR114">
        <f t="shared" ref="FR114:FR126" si="127">ROUND(IF(AND(BH114=3,BI114=3),P114,0),2)</f>
        <v>0</v>
      </c>
      <c r="FS114">
        <v>0</v>
      </c>
      <c r="FX114">
        <v>159</v>
      </c>
      <c r="FY114">
        <v>119</v>
      </c>
      <c r="GA114" t="s">
        <v>3</v>
      </c>
      <c r="GD114">
        <v>0</v>
      </c>
      <c r="GF114">
        <v>-1683508921</v>
      </c>
      <c r="GG114">
        <v>2</v>
      </c>
      <c r="GH114">
        <v>1</v>
      </c>
      <c r="GI114">
        <v>2</v>
      </c>
      <c r="GJ114">
        <v>0</v>
      </c>
      <c r="GK114">
        <f>ROUND(R114*(R12)/100,2)</f>
        <v>275.77999999999997</v>
      </c>
      <c r="GL114">
        <f t="shared" ref="GL114:GL126" si="128">ROUND(IF(AND(BH114=3,BI114=3,FS114&lt;&gt;0),P114,0),2)</f>
        <v>0</v>
      </c>
      <c r="GM114">
        <f t="shared" ref="GM114:GM126" si="129">O114+X114+Y114+GK114</f>
        <v>46407.539999999994</v>
      </c>
      <c r="GN114">
        <f t="shared" ref="GN114:GN126" si="130">ROUND(IF(OR(BI114=0,BI114=1),O114+X114+Y114+GK114,0),2)</f>
        <v>46407.54</v>
      </c>
      <c r="GO114">
        <f t="shared" ref="GO114:GO126" si="131">ROUND(IF(BI114=2,O114+X114+Y114+GK114,0),2)</f>
        <v>0</v>
      </c>
      <c r="GP114">
        <f t="shared" ref="GP114:GP126" si="132">ROUND(IF(BI114=4,O114+X114+Y114+GK114,0),2)</f>
        <v>0</v>
      </c>
      <c r="GR114">
        <v>0</v>
      </c>
      <c r="GT114">
        <v>0</v>
      </c>
      <c r="GU114">
        <v>1</v>
      </c>
      <c r="GV114">
        <v>0</v>
      </c>
      <c r="GW114">
        <v>0</v>
      </c>
    </row>
    <row r="115" spans="1:205" x14ac:dyDescent="0.2">
      <c r="A115">
        <v>17</v>
      </c>
      <c r="B115">
        <v>1</v>
      </c>
      <c r="C115">
        <f>ROW(SmtRes!A45)</f>
        <v>45</v>
      </c>
      <c r="D115">
        <f>ROW(EtalonRes!A43)</f>
        <v>43</v>
      </c>
      <c r="E115" t="s">
        <v>168</v>
      </c>
      <c r="F115" t="s">
        <v>169</v>
      </c>
      <c r="G115" t="s">
        <v>170</v>
      </c>
      <c r="H115" t="s">
        <v>39</v>
      </c>
      <c r="I115">
        <v>22.594000000000001</v>
      </c>
      <c r="J115">
        <v>0</v>
      </c>
      <c r="O115">
        <f t="shared" si="102"/>
        <v>1825.96</v>
      </c>
      <c r="P115">
        <f t="shared" si="103"/>
        <v>0</v>
      </c>
      <c r="Q115">
        <f t="shared" si="104"/>
        <v>1825.96</v>
      </c>
      <c r="R115">
        <f t="shared" si="105"/>
        <v>672.42</v>
      </c>
      <c r="S115">
        <f t="shared" si="106"/>
        <v>0</v>
      </c>
      <c r="T115">
        <f t="shared" si="107"/>
        <v>0</v>
      </c>
      <c r="U115">
        <f t="shared" si="108"/>
        <v>0</v>
      </c>
      <c r="V115">
        <f t="shared" si="109"/>
        <v>0</v>
      </c>
      <c r="W115">
        <f t="shared" si="110"/>
        <v>0</v>
      </c>
      <c r="X115">
        <f t="shared" si="111"/>
        <v>0</v>
      </c>
      <c r="Y115">
        <f t="shared" si="112"/>
        <v>0</v>
      </c>
      <c r="AA115">
        <v>90163004</v>
      </c>
      <c r="AB115">
        <f t="shared" si="113"/>
        <v>9.7460000000000004</v>
      </c>
      <c r="AC115">
        <f>ROUND((ES115),6)</f>
        <v>0</v>
      </c>
      <c r="AD115">
        <f>ROUND(((ET115*1.1)),6)</f>
        <v>9.7460000000000004</v>
      </c>
      <c r="AE115">
        <f>ROUND(((EU115*1.1)),6)</f>
        <v>1.6279999999999999</v>
      </c>
      <c r="AF115">
        <f>ROUND(((EV115*1.1)),6)</f>
        <v>0</v>
      </c>
      <c r="AG115">
        <f t="shared" si="114"/>
        <v>0</v>
      </c>
      <c r="AH115">
        <f>((EW115*1.1))</f>
        <v>0</v>
      </c>
      <c r="AI115">
        <f>((EX115*1.1))</f>
        <v>0</v>
      </c>
      <c r="AJ115">
        <f t="shared" si="115"/>
        <v>0</v>
      </c>
      <c r="AK115">
        <v>8.86</v>
      </c>
      <c r="AL115">
        <v>0</v>
      </c>
      <c r="AM115">
        <v>8.86</v>
      </c>
      <c r="AN115">
        <v>1.48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77</v>
      </c>
      <c r="AU115">
        <v>44</v>
      </c>
      <c r="AV115">
        <v>1.0469999999999999</v>
      </c>
      <c r="AW115">
        <v>1.002</v>
      </c>
      <c r="AZ115">
        <v>1</v>
      </c>
      <c r="BA115">
        <v>17.46</v>
      </c>
      <c r="BB115">
        <v>7.92</v>
      </c>
      <c r="BC115">
        <v>1</v>
      </c>
      <c r="BD115" t="s">
        <v>3</v>
      </c>
      <c r="BE115" t="s">
        <v>3</v>
      </c>
      <c r="BF115" t="s">
        <v>3</v>
      </c>
      <c r="BG115" t="s">
        <v>3</v>
      </c>
      <c r="BH115">
        <v>0</v>
      </c>
      <c r="BI115">
        <v>1</v>
      </c>
      <c r="BJ115" t="s">
        <v>171</v>
      </c>
      <c r="BM115">
        <v>658</v>
      </c>
      <c r="BN115">
        <v>0</v>
      </c>
      <c r="BO115" t="s">
        <v>169</v>
      </c>
      <c r="BP115">
        <v>1</v>
      </c>
      <c r="BQ115">
        <v>60</v>
      </c>
      <c r="BR115">
        <v>0</v>
      </c>
      <c r="BS115">
        <v>17.46</v>
      </c>
      <c r="BT115">
        <v>1</v>
      </c>
      <c r="BU115">
        <v>1</v>
      </c>
      <c r="BV115">
        <v>1</v>
      </c>
      <c r="BW115">
        <v>1</v>
      </c>
      <c r="BX115">
        <v>1</v>
      </c>
      <c r="BY115" t="s">
        <v>3</v>
      </c>
      <c r="BZ115">
        <v>77</v>
      </c>
      <c r="CA115">
        <v>44</v>
      </c>
      <c r="CF115">
        <v>0</v>
      </c>
      <c r="CG115">
        <v>0</v>
      </c>
      <c r="CM115">
        <v>0</v>
      </c>
      <c r="CN115" t="s">
        <v>3</v>
      </c>
      <c r="CO115">
        <v>0</v>
      </c>
      <c r="CP115">
        <f t="shared" si="116"/>
        <v>1825.96</v>
      </c>
      <c r="CQ115">
        <f t="shared" si="117"/>
        <v>0</v>
      </c>
      <c r="CR115">
        <f t="shared" si="118"/>
        <v>80.81617104</v>
      </c>
      <c r="CS115">
        <f t="shared" si="119"/>
        <v>29.760849359999995</v>
      </c>
      <c r="CT115">
        <f t="shared" si="120"/>
        <v>0</v>
      </c>
      <c r="CU115">
        <f t="shared" si="121"/>
        <v>0</v>
      </c>
      <c r="CV115">
        <f t="shared" si="122"/>
        <v>0</v>
      </c>
      <c r="CW115">
        <f t="shared" si="123"/>
        <v>0</v>
      </c>
      <c r="CX115">
        <f t="shared" si="124"/>
        <v>0</v>
      </c>
      <c r="CY115">
        <f t="shared" si="125"/>
        <v>0</v>
      </c>
      <c r="CZ115">
        <f t="shared" si="126"/>
        <v>0</v>
      </c>
      <c r="DC115" t="s">
        <v>3</v>
      </c>
      <c r="DD115" t="s">
        <v>3</v>
      </c>
      <c r="DE115" t="s">
        <v>172</v>
      </c>
      <c r="DF115" t="s">
        <v>172</v>
      </c>
      <c r="DG115" t="s">
        <v>172</v>
      </c>
      <c r="DH115" t="s">
        <v>3</v>
      </c>
      <c r="DI115" t="s">
        <v>172</v>
      </c>
      <c r="DJ115" t="s">
        <v>172</v>
      </c>
      <c r="DK115" t="s">
        <v>3</v>
      </c>
      <c r="DL115" t="s">
        <v>3</v>
      </c>
      <c r="DM115" t="s">
        <v>3</v>
      </c>
      <c r="DN115">
        <v>91</v>
      </c>
      <c r="DO115">
        <v>70</v>
      </c>
      <c r="DP115">
        <v>1.0469999999999999</v>
      </c>
      <c r="DQ115">
        <v>1.002</v>
      </c>
      <c r="DU115">
        <v>1009</v>
      </c>
      <c r="DV115" t="s">
        <v>39</v>
      </c>
      <c r="DW115" t="s">
        <v>39</v>
      </c>
      <c r="DX115">
        <v>1000</v>
      </c>
      <c r="EE115">
        <v>33195492</v>
      </c>
      <c r="EF115">
        <v>60</v>
      </c>
      <c r="EG115" t="s">
        <v>173</v>
      </c>
      <c r="EH115">
        <v>0</v>
      </c>
      <c r="EI115" t="s">
        <v>3</v>
      </c>
      <c r="EJ115">
        <v>1</v>
      </c>
      <c r="EK115">
        <v>658</v>
      </c>
      <c r="EL115" t="s">
        <v>174</v>
      </c>
      <c r="EM115" t="s">
        <v>175</v>
      </c>
      <c r="EO115" t="s">
        <v>3</v>
      </c>
      <c r="EQ115">
        <v>0</v>
      </c>
      <c r="ER115">
        <v>8.86</v>
      </c>
      <c r="ES115">
        <v>0</v>
      </c>
      <c r="ET115">
        <v>8.86</v>
      </c>
      <c r="EU115">
        <v>1.48</v>
      </c>
      <c r="EV115">
        <v>0</v>
      </c>
      <c r="EW115">
        <v>0</v>
      </c>
      <c r="EX115">
        <v>0</v>
      </c>
      <c r="EY115">
        <v>0</v>
      </c>
      <c r="FQ115">
        <v>0</v>
      </c>
      <c r="FR115">
        <f t="shared" si="127"/>
        <v>0</v>
      </c>
      <c r="FS115">
        <v>0</v>
      </c>
      <c r="FX115">
        <v>91</v>
      </c>
      <c r="FY115">
        <v>70</v>
      </c>
      <c r="GA115" t="s">
        <v>3</v>
      </c>
      <c r="GD115">
        <v>0</v>
      </c>
      <c r="GF115">
        <v>-2131482769</v>
      </c>
      <c r="GG115">
        <v>2</v>
      </c>
      <c r="GH115">
        <v>1</v>
      </c>
      <c r="GI115">
        <v>2</v>
      </c>
      <c r="GJ115">
        <v>0</v>
      </c>
      <c r="GK115">
        <f>ROUND(R115*(R12)/100,2)</f>
        <v>1122.94</v>
      </c>
      <c r="GL115">
        <f t="shared" si="128"/>
        <v>0</v>
      </c>
      <c r="GM115">
        <f t="shared" si="129"/>
        <v>2948.9</v>
      </c>
      <c r="GN115">
        <f t="shared" si="130"/>
        <v>2948.9</v>
      </c>
      <c r="GO115">
        <f t="shared" si="131"/>
        <v>0</v>
      </c>
      <c r="GP115">
        <f t="shared" si="132"/>
        <v>0</v>
      </c>
      <c r="GR115">
        <v>0</v>
      </c>
      <c r="GT115">
        <v>0</v>
      </c>
      <c r="GU115">
        <v>1</v>
      </c>
      <c r="GV115">
        <v>0</v>
      </c>
      <c r="GW115">
        <v>0</v>
      </c>
    </row>
    <row r="116" spans="1:205" x14ac:dyDescent="0.2">
      <c r="A116">
        <v>17</v>
      </c>
      <c r="B116">
        <v>1</v>
      </c>
      <c r="C116">
        <f>ROW(SmtRes!A47)</f>
        <v>47</v>
      </c>
      <c r="D116">
        <f>ROW(EtalonRes!A45)</f>
        <v>45</v>
      </c>
      <c r="E116" t="s">
        <v>176</v>
      </c>
      <c r="F116" t="s">
        <v>177</v>
      </c>
      <c r="G116" t="s">
        <v>178</v>
      </c>
      <c r="H116" t="s">
        <v>179</v>
      </c>
      <c r="I116">
        <v>1</v>
      </c>
      <c r="J116">
        <v>0</v>
      </c>
      <c r="O116">
        <f t="shared" si="102"/>
        <v>114030.68</v>
      </c>
      <c r="P116">
        <f t="shared" si="103"/>
        <v>66531.02</v>
      </c>
      <c r="Q116">
        <f t="shared" si="104"/>
        <v>9685.91</v>
      </c>
      <c r="R116">
        <f t="shared" si="105"/>
        <v>0</v>
      </c>
      <c r="S116">
        <f t="shared" si="106"/>
        <v>37813.75</v>
      </c>
      <c r="T116">
        <f t="shared" si="107"/>
        <v>0</v>
      </c>
      <c r="U116">
        <f t="shared" si="108"/>
        <v>0</v>
      </c>
      <c r="V116">
        <f t="shared" si="109"/>
        <v>0</v>
      </c>
      <c r="W116">
        <f t="shared" si="110"/>
        <v>22.21</v>
      </c>
      <c r="X116">
        <f t="shared" si="111"/>
        <v>0</v>
      </c>
      <c r="Y116">
        <f t="shared" si="112"/>
        <v>0</v>
      </c>
      <c r="AA116">
        <v>90163004</v>
      </c>
      <c r="AB116">
        <f t="shared" si="113"/>
        <v>15075.61335</v>
      </c>
      <c r="AC116">
        <f>ROUND(((ES116*0.998*0.3)),6)</f>
        <v>11775.402</v>
      </c>
      <c r="AD116">
        <f>ROUND(((ET116*1.15*0.998*0.3)),6)</f>
        <v>851.13432</v>
      </c>
      <c r="AE116">
        <f>ROUND(((EU116*1.15*0.998*0.3)),6)</f>
        <v>0</v>
      </c>
      <c r="AF116">
        <f>ROUND(((EV116*1.15*0.998*0.3)),6)</f>
        <v>2449.0770299999999</v>
      </c>
      <c r="AG116">
        <f t="shared" si="114"/>
        <v>0</v>
      </c>
      <c r="AH116">
        <f>((EW116*1.15*0.998*0.3))</f>
        <v>0</v>
      </c>
      <c r="AI116">
        <f>((EX116*1.15*0.998*0.3))</f>
        <v>0</v>
      </c>
      <c r="AJ116">
        <f t="shared" si="115"/>
        <v>22.21</v>
      </c>
      <c r="AK116">
        <v>48915</v>
      </c>
      <c r="AL116">
        <v>39330</v>
      </c>
      <c r="AM116">
        <v>2472</v>
      </c>
      <c r="AN116">
        <v>0</v>
      </c>
      <c r="AO116">
        <v>7113</v>
      </c>
      <c r="AP116">
        <v>0</v>
      </c>
      <c r="AQ116">
        <v>0</v>
      </c>
      <c r="AR116">
        <v>0</v>
      </c>
      <c r="AS116">
        <v>22.21</v>
      </c>
      <c r="AT116">
        <v>0</v>
      </c>
      <c r="AU116">
        <v>0</v>
      </c>
      <c r="AV116">
        <v>1</v>
      </c>
      <c r="AW116">
        <v>1</v>
      </c>
      <c r="AZ116">
        <v>1</v>
      </c>
      <c r="BA116">
        <v>15.44</v>
      </c>
      <c r="BB116">
        <v>11.38</v>
      </c>
      <c r="BC116">
        <v>5.65</v>
      </c>
      <c r="BD116" t="s">
        <v>3</v>
      </c>
      <c r="BE116" t="s">
        <v>3</v>
      </c>
      <c r="BF116" t="s">
        <v>3</v>
      </c>
      <c r="BG116" t="s">
        <v>3</v>
      </c>
      <c r="BH116">
        <v>0</v>
      </c>
      <c r="BI116">
        <v>1</v>
      </c>
      <c r="BJ116" t="s">
        <v>180</v>
      </c>
      <c r="BM116">
        <v>1114</v>
      </c>
      <c r="BN116">
        <v>0</v>
      </c>
      <c r="BO116" t="s">
        <v>177</v>
      </c>
      <c r="BP116">
        <v>1</v>
      </c>
      <c r="BQ116">
        <v>160</v>
      </c>
      <c r="BR116">
        <v>0</v>
      </c>
      <c r="BS116">
        <v>15.44</v>
      </c>
      <c r="BT116">
        <v>1</v>
      </c>
      <c r="BU116">
        <v>1</v>
      </c>
      <c r="BV116">
        <v>1</v>
      </c>
      <c r="BW116">
        <v>1</v>
      </c>
      <c r="BX116">
        <v>1</v>
      </c>
      <c r="BY116" t="s">
        <v>3</v>
      </c>
      <c r="BZ116">
        <v>0</v>
      </c>
      <c r="CA116">
        <v>0</v>
      </c>
      <c r="CF116">
        <v>0</v>
      </c>
      <c r="CG116">
        <v>0</v>
      </c>
      <c r="CM116">
        <v>0</v>
      </c>
      <c r="CN116" t="s">
        <v>181</v>
      </c>
      <c r="CO116">
        <v>0</v>
      </c>
      <c r="CP116">
        <f t="shared" si="116"/>
        <v>114030.68000000001</v>
      </c>
      <c r="CQ116">
        <f t="shared" si="117"/>
        <v>66531.021300000008</v>
      </c>
      <c r="CR116">
        <f t="shared" si="118"/>
        <v>9685.9085616000011</v>
      </c>
      <c r="CS116">
        <f t="shared" si="119"/>
        <v>0</v>
      </c>
      <c r="CT116">
        <f t="shared" si="120"/>
        <v>37813.749343199997</v>
      </c>
      <c r="CU116">
        <f t="shared" si="121"/>
        <v>0</v>
      </c>
      <c r="CV116">
        <f t="shared" si="122"/>
        <v>0</v>
      </c>
      <c r="CW116">
        <f t="shared" si="123"/>
        <v>0</v>
      </c>
      <c r="CX116">
        <f t="shared" si="124"/>
        <v>22.21</v>
      </c>
      <c r="CY116">
        <f t="shared" si="125"/>
        <v>0</v>
      </c>
      <c r="CZ116">
        <f t="shared" si="126"/>
        <v>0</v>
      </c>
      <c r="DC116" t="s">
        <v>3</v>
      </c>
      <c r="DD116" t="s">
        <v>182</v>
      </c>
      <c r="DE116" t="s">
        <v>183</v>
      </c>
      <c r="DF116" t="s">
        <v>183</v>
      </c>
      <c r="DG116" t="s">
        <v>183</v>
      </c>
      <c r="DH116" t="s">
        <v>3</v>
      </c>
      <c r="DI116" t="s">
        <v>183</v>
      </c>
      <c r="DJ116" t="s">
        <v>183</v>
      </c>
      <c r="DK116" t="s">
        <v>3</v>
      </c>
      <c r="DL116" t="s">
        <v>3</v>
      </c>
      <c r="DM116" t="s">
        <v>3</v>
      </c>
      <c r="DN116">
        <v>0</v>
      </c>
      <c r="DO116">
        <v>0</v>
      </c>
      <c r="DP116">
        <v>1</v>
      </c>
      <c r="DQ116">
        <v>1</v>
      </c>
      <c r="DU116">
        <v>1013</v>
      </c>
      <c r="DV116" t="s">
        <v>179</v>
      </c>
      <c r="DW116" t="s">
        <v>179</v>
      </c>
      <c r="DX116">
        <v>1</v>
      </c>
      <c r="EE116">
        <v>33196057</v>
      </c>
      <c r="EF116">
        <v>160</v>
      </c>
      <c r="EG116" t="s">
        <v>24</v>
      </c>
      <c r="EH116">
        <v>0</v>
      </c>
      <c r="EI116" t="s">
        <v>3</v>
      </c>
      <c r="EJ116">
        <v>1</v>
      </c>
      <c r="EK116">
        <v>1114</v>
      </c>
      <c r="EL116" t="s">
        <v>25</v>
      </c>
      <c r="EM116" t="s">
        <v>26</v>
      </c>
      <c r="EO116" t="s">
        <v>3</v>
      </c>
      <c r="EQ116">
        <v>256</v>
      </c>
      <c r="ER116">
        <v>48915</v>
      </c>
      <c r="ES116">
        <v>39330</v>
      </c>
      <c r="ET116">
        <v>2472</v>
      </c>
      <c r="EU116">
        <v>0</v>
      </c>
      <c r="EV116">
        <v>7113</v>
      </c>
      <c r="EW116">
        <v>0</v>
      </c>
      <c r="EX116">
        <v>0</v>
      </c>
      <c r="EY116">
        <v>0</v>
      </c>
      <c r="FQ116">
        <v>0</v>
      </c>
      <c r="FR116">
        <f t="shared" si="127"/>
        <v>0</v>
      </c>
      <c r="FS116">
        <v>0</v>
      </c>
      <c r="FX116">
        <v>0</v>
      </c>
      <c r="FY116">
        <v>0</v>
      </c>
      <c r="GA116" t="s">
        <v>3</v>
      </c>
      <c r="GD116">
        <v>0</v>
      </c>
      <c r="GF116">
        <v>852707958</v>
      </c>
      <c r="GG116">
        <v>2</v>
      </c>
      <c r="GH116">
        <v>1</v>
      </c>
      <c r="GI116">
        <v>2</v>
      </c>
      <c r="GJ116">
        <v>0</v>
      </c>
      <c r="GK116">
        <f>ROUND(R116*(R12)/100,2)</f>
        <v>0</v>
      </c>
      <c r="GL116">
        <f t="shared" si="128"/>
        <v>0</v>
      </c>
      <c r="GM116">
        <f t="shared" si="129"/>
        <v>114030.68</v>
      </c>
      <c r="GN116">
        <f t="shared" si="130"/>
        <v>114030.68</v>
      </c>
      <c r="GO116">
        <f t="shared" si="131"/>
        <v>0</v>
      </c>
      <c r="GP116">
        <f t="shared" si="132"/>
        <v>0</v>
      </c>
      <c r="GR116">
        <v>0</v>
      </c>
      <c r="GT116">
        <v>0</v>
      </c>
      <c r="GU116">
        <v>5.68</v>
      </c>
      <c r="GV116">
        <v>-22.21</v>
      </c>
      <c r="GW116">
        <v>-0.31</v>
      </c>
    </row>
    <row r="117" spans="1:205" x14ac:dyDescent="0.2">
      <c r="A117">
        <v>18</v>
      </c>
      <c r="B117">
        <v>1</v>
      </c>
      <c r="C117">
        <v>46</v>
      </c>
      <c r="E117" t="s">
        <v>184</v>
      </c>
      <c r="F117" t="s">
        <v>37</v>
      </c>
      <c r="G117" t="s">
        <v>38</v>
      </c>
      <c r="H117" t="s">
        <v>39</v>
      </c>
      <c r="I117">
        <f>I116*J117</f>
        <v>-9.2813999999999994E-2</v>
      </c>
      <c r="J117">
        <v>-9.2813999999999994E-2</v>
      </c>
      <c r="O117">
        <f t="shared" si="102"/>
        <v>0</v>
      </c>
      <c r="P117">
        <f t="shared" si="103"/>
        <v>0</v>
      </c>
      <c r="Q117">
        <f t="shared" si="104"/>
        <v>0</v>
      </c>
      <c r="R117">
        <f t="shared" si="105"/>
        <v>0</v>
      </c>
      <c r="S117">
        <f t="shared" si="106"/>
        <v>0</v>
      </c>
      <c r="T117">
        <f t="shared" si="107"/>
        <v>0</v>
      </c>
      <c r="U117">
        <f t="shared" si="108"/>
        <v>0</v>
      </c>
      <c r="V117">
        <f t="shared" si="109"/>
        <v>0</v>
      </c>
      <c r="W117">
        <f t="shared" si="110"/>
        <v>0</v>
      </c>
      <c r="X117">
        <f t="shared" si="111"/>
        <v>0</v>
      </c>
      <c r="Y117">
        <f t="shared" si="112"/>
        <v>0</v>
      </c>
      <c r="AA117">
        <v>90163004</v>
      </c>
      <c r="AB117">
        <f t="shared" si="113"/>
        <v>0</v>
      </c>
      <c r="AC117">
        <f t="shared" ref="AC117:AF118" si="133">ROUND((ES117),6)</f>
        <v>0</v>
      </c>
      <c r="AD117">
        <f t="shared" si="133"/>
        <v>0</v>
      </c>
      <c r="AE117">
        <f t="shared" si="133"/>
        <v>0</v>
      </c>
      <c r="AF117">
        <f t="shared" si="133"/>
        <v>0</v>
      </c>
      <c r="AG117">
        <f t="shared" si="114"/>
        <v>0</v>
      </c>
      <c r="AH117">
        <f>(EW117)</f>
        <v>0</v>
      </c>
      <c r="AI117">
        <f>(EX117)</f>
        <v>0</v>
      </c>
      <c r="AJ117">
        <f t="shared" si="115"/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1</v>
      </c>
      <c r="AW117">
        <v>1</v>
      </c>
      <c r="AZ117">
        <v>1</v>
      </c>
      <c r="BA117">
        <v>1</v>
      </c>
      <c r="BB117">
        <v>1</v>
      </c>
      <c r="BC117">
        <v>1</v>
      </c>
      <c r="BD117" t="s">
        <v>3</v>
      </c>
      <c r="BE117" t="s">
        <v>3</v>
      </c>
      <c r="BF117" t="s">
        <v>3</v>
      </c>
      <c r="BG117" t="s">
        <v>3</v>
      </c>
      <c r="BH117">
        <v>3</v>
      </c>
      <c r="BI117">
        <v>1</v>
      </c>
      <c r="BJ117" t="s">
        <v>3</v>
      </c>
      <c r="BM117">
        <v>1114</v>
      </c>
      <c r="BN117">
        <v>0</v>
      </c>
      <c r="BO117" t="s">
        <v>3</v>
      </c>
      <c r="BP117">
        <v>0</v>
      </c>
      <c r="BQ117">
        <v>160</v>
      </c>
      <c r="BR117">
        <v>1</v>
      </c>
      <c r="BS117">
        <v>1</v>
      </c>
      <c r="BT117">
        <v>1</v>
      </c>
      <c r="BU117">
        <v>1</v>
      </c>
      <c r="BV117">
        <v>1</v>
      </c>
      <c r="BW117">
        <v>1</v>
      </c>
      <c r="BX117">
        <v>1</v>
      </c>
      <c r="BY117" t="s">
        <v>3</v>
      </c>
      <c r="BZ117">
        <v>0</v>
      </c>
      <c r="CA117">
        <v>0</v>
      </c>
      <c r="CF117">
        <v>0</v>
      </c>
      <c r="CG117">
        <v>0</v>
      </c>
      <c r="CM117">
        <v>0</v>
      </c>
      <c r="CN117" t="s">
        <v>3</v>
      </c>
      <c r="CO117">
        <v>0</v>
      </c>
      <c r="CP117">
        <f t="shared" si="116"/>
        <v>0</v>
      </c>
      <c r="CQ117">
        <f t="shared" si="117"/>
        <v>0</v>
      </c>
      <c r="CR117">
        <f t="shared" si="118"/>
        <v>0</v>
      </c>
      <c r="CS117">
        <f t="shared" si="119"/>
        <v>0</v>
      </c>
      <c r="CT117">
        <f t="shared" si="120"/>
        <v>0</v>
      </c>
      <c r="CU117">
        <f t="shared" si="121"/>
        <v>0</v>
      </c>
      <c r="CV117">
        <f t="shared" si="122"/>
        <v>0</v>
      </c>
      <c r="CW117">
        <f t="shared" si="123"/>
        <v>0</v>
      </c>
      <c r="CX117">
        <f t="shared" si="124"/>
        <v>0</v>
      </c>
      <c r="CY117">
        <f t="shared" si="125"/>
        <v>0</v>
      </c>
      <c r="CZ117">
        <f t="shared" si="126"/>
        <v>0</v>
      </c>
      <c r="DC117" t="s">
        <v>3</v>
      </c>
      <c r="DD117" t="s">
        <v>3</v>
      </c>
      <c r="DE117" t="s">
        <v>3</v>
      </c>
      <c r="DF117" t="s">
        <v>3</v>
      </c>
      <c r="DG117" t="s">
        <v>3</v>
      </c>
      <c r="DH117" t="s">
        <v>3</v>
      </c>
      <c r="DI117" t="s">
        <v>3</v>
      </c>
      <c r="DJ117" t="s">
        <v>3</v>
      </c>
      <c r="DK117" t="s">
        <v>3</v>
      </c>
      <c r="DL117" t="s">
        <v>3</v>
      </c>
      <c r="DM117" t="s">
        <v>3</v>
      </c>
      <c r="DN117">
        <v>0</v>
      </c>
      <c r="DO117">
        <v>0</v>
      </c>
      <c r="DP117">
        <v>1</v>
      </c>
      <c r="DQ117">
        <v>1</v>
      </c>
      <c r="DU117">
        <v>1009</v>
      </c>
      <c r="DV117" t="s">
        <v>39</v>
      </c>
      <c r="DW117" t="s">
        <v>39</v>
      </c>
      <c r="DX117">
        <v>1000</v>
      </c>
      <c r="EE117">
        <v>33196057</v>
      </c>
      <c r="EF117">
        <v>160</v>
      </c>
      <c r="EG117" t="s">
        <v>24</v>
      </c>
      <c r="EH117">
        <v>0</v>
      </c>
      <c r="EI117" t="s">
        <v>3</v>
      </c>
      <c r="EJ117">
        <v>1</v>
      </c>
      <c r="EK117">
        <v>1114</v>
      </c>
      <c r="EL117" t="s">
        <v>25</v>
      </c>
      <c r="EM117" t="s">
        <v>26</v>
      </c>
      <c r="EO117" t="s">
        <v>3</v>
      </c>
      <c r="EQ117">
        <v>256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FQ117">
        <v>0</v>
      </c>
      <c r="FR117">
        <f t="shared" si="127"/>
        <v>0</v>
      </c>
      <c r="FS117">
        <v>0</v>
      </c>
      <c r="FX117">
        <v>0</v>
      </c>
      <c r="FY117">
        <v>0</v>
      </c>
      <c r="GA117" t="s">
        <v>3</v>
      </c>
      <c r="GD117">
        <v>0</v>
      </c>
      <c r="GF117">
        <v>-1541367988</v>
      </c>
      <c r="GG117">
        <v>2</v>
      </c>
      <c r="GH117">
        <v>0</v>
      </c>
      <c r="GI117">
        <v>-2</v>
      </c>
      <c r="GJ117">
        <v>0</v>
      </c>
      <c r="GK117">
        <f>ROUND(R117*(R12)/100,2)</f>
        <v>0</v>
      </c>
      <c r="GL117">
        <f t="shared" si="128"/>
        <v>0</v>
      </c>
      <c r="GM117">
        <f t="shared" si="129"/>
        <v>0</v>
      </c>
      <c r="GN117">
        <f t="shared" si="130"/>
        <v>0</v>
      </c>
      <c r="GO117">
        <f t="shared" si="131"/>
        <v>0</v>
      </c>
      <c r="GP117">
        <f t="shared" si="132"/>
        <v>0</v>
      </c>
      <c r="GR117">
        <v>0</v>
      </c>
      <c r="GT117">
        <v>0</v>
      </c>
      <c r="GU117">
        <v>1</v>
      </c>
      <c r="GV117">
        <v>0</v>
      </c>
      <c r="GW117">
        <v>0</v>
      </c>
    </row>
    <row r="118" spans="1:205" x14ac:dyDescent="0.2">
      <c r="A118">
        <v>18</v>
      </c>
      <c r="B118">
        <v>1</v>
      </c>
      <c r="C118">
        <v>47</v>
      </c>
      <c r="E118" t="s">
        <v>185</v>
      </c>
      <c r="F118" t="s">
        <v>37</v>
      </c>
      <c r="G118" t="s">
        <v>41</v>
      </c>
      <c r="H118" t="s">
        <v>30</v>
      </c>
      <c r="I118">
        <f>I116*J118</f>
        <v>-6.6496740000000001</v>
      </c>
      <c r="J118">
        <v>-6.6496740000000001</v>
      </c>
      <c r="O118">
        <f t="shared" si="102"/>
        <v>0</v>
      </c>
      <c r="P118">
        <f t="shared" si="103"/>
        <v>0</v>
      </c>
      <c r="Q118">
        <f t="shared" si="104"/>
        <v>0</v>
      </c>
      <c r="R118">
        <f t="shared" si="105"/>
        <v>0</v>
      </c>
      <c r="S118">
        <f t="shared" si="106"/>
        <v>0</v>
      </c>
      <c r="T118">
        <f t="shared" si="107"/>
        <v>0</v>
      </c>
      <c r="U118">
        <f t="shared" si="108"/>
        <v>0</v>
      </c>
      <c r="V118">
        <f t="shared" si="109"/>
        <v>0</v>
      </c>
      <c r="W118">
        <f t="shared" si="110"/>
        <v>0</v>
      </c>
      <c r="X118">
        <f t="shared" si="111"/>
        <v>0</v>
      </c>
      <c r="Y118">
        <f t="shared" si="112"/>
        <v>0</v>
      </c>
      <c r="AA118">
        <v>90163004</v>
      </c>
      <c r="AB118">
        <f t="shared" si="113"/>
        <v>0</v>
      </c>
      <c r="AC118">
        <f t="shared" si="133"/>
        <v>0</v>
      </c>
      <c r="AD118">
        <f t="shared" si="133"/>
        <v>0</v>
      </c>
      <c r="AE118">
        <f t="shared" si="133"/>
        <v>0</v>
      </c>
      <c r="AF118">
        <f t="shared" si="133"/>
        <v>0</v>
      </c>
      <c r="AG118">
        <f t="shared" si="114"/>
        <v>0</v>
      </c>
      <c r="AH118">
        <f>(EW118)</f>
        <v>0</v>
      </c>
      <c r="AI118">
        <f>(EX118)</f>
        <v>0</v>
      </c>
      <c r="AJ118">
        <f t="shared" si="115"/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1</v>
      </c>
      <c r="AW118">
        <v>1</v>
      </c>
      <c r="AZ118">
        <v>1</v>
      </c>
      <c r="BA118">
        <v>1</v>
      </c>
      <c r="BB118">
        <v>1</v>
      </c>
      <c r="BC118">
        <v>1</v>
      </c>
      <c r="BD118" t="s">
        <v>3</v>
      </c>
      <c r="BE118" t="s">
        <v>3</v>
      </c>
      <c r="BF118" t="s">
        <v>3</v>
      </c>
      <c r="BG118" t="s">
        <v>3</v>
      </c>
      <c r="BH118">
        <v>3</v>
      </c>
      <c r="BI118">
        <v>1</v>
      </c>
      <c r="BJ118" t="s">
        <v>3</v>
      </c>
      <c r="BM118">
        <v>1114</v>
      </c>
      <c r="BN118">
        <v>0</v>
      </c>
      <c r="BO118" t="s">
        <v>3</v>
      </c>
      <c r="BP118">
        <v>0</v>
      </c>
      <c r="BQ118">
        <v>160</v>
      </c>
      <c r="BR118">
        <v>1</v>
      </c>
      <c r="BS118">
        <v>1</v>
      </c>
      <c r="BT118">
        <v>1</v>
      </c>
      <c r="BU118">
        <v>1</v>
      </c>
      <c r="BV118">
        <v>1</v>
      </c>
      <c r="BW118">
        <v>1</v>
      </c>
      <c r="BX118">
        <v>1</v>
      </c>
      <c r="BY118" t="s">
        <v>3</v>
      </c>
      <c r="BZ118">
        <v>0</v>
      </c>
      <c r="CA118">
        <v>0</v>
      </c>
      <c r="CF118">
        <v>0</v>
      </c>
      <c r="CG118">
        <v>0</v>
      </c>
      <c r="CM118">
        <v>0</v>
      </c>
      <c r="CN118" t="s">
        <v>3</v>
      </c>
      <c r="CO118">
        <v>0</v>
      </c>
      <c r="CP118">
        <f t="shared" si="116"/>
        <v>0</v>
      </c>
      <c r="CQ118">
        <f t="shared" si="117"/>
        <v>0</v>
      </c>
      <c r="CR118">
        <f t="shared" si="118"/>
        <v>0</v>
      </c>
      <c r="CS118">
        <f t="shared" si="119"/>
        <v>0</v>
      </c>
      <c r="CT118">
        <f t="shared" si="120"/>
        <v>0</v>
      </c>
      <c r="CU118">
        <f t="shared" si="121"/>
        <v>0</v>
      </c>
      <c r="CV118">
        <f t="shared" si="122"/>
        <v>0</v>
      </c>
      <c r="CW118">
        <f t="shared" si="123"/>
        <v>0</v>
      </c>
      <c r="CX118">
        <f t="shared" si="124"/>
        <v>0</v>
      </c>
      <c r="CY118">
        <f t="shared" si="125"/>
        <v>0</v>
      </c>
      <c r="CZ118">
        <f t="shared" si="126"/>
        <v>0</v>
      </c>
      <c r="DC118" t="s">
        <v>3</v>
      </c>
      <c r="DD118" t="s">
        <v>3</v>
      </c>
      <c r="DE118" t="s">
        <v>3</v>
      </c>
      <c r="DF118" t="s">
        <v>3</v>
      </c>
      <c r="DG118" t="s">
        <v>3</v>
      </c>
      <c r="DH118" t="s">
        <v>3</v>
      </c>
      <c r="DI118" t="s">
        <v>3</v>
      </c>
      <c r="DJ118" t="s">
        <v>3</v>
      </c>
      <c r="DK118" t="s">
        <v>3</v>
      </c>
      <c r="DL118" t="s">
        <v>3</v>
      </c>
      <c r="DM118" t="s">
        <v>3</v>
      </c>
      <c r="DN118">
        <v>0</v>
      </c>
      <c r="DO118">
        <v>0</v>
      </c>
      <c r="DP118">
        <v>1</v>
      </c>
      <c r="DQ118">
        <v>1</v>
      </c>
      <c r="DU118">
        <v>1007</v>
      </c>
      <c r="DV118" t="s">
        <v>30</v>
      </c>
      <c r="DW118" t="s">
        <v>30</v>
      </c>
      <c r="DX118">
        <v>1</v>
      </c>
      <c r="EE118">
        <v>33196057</v>
      </c>
      <c r="EF118">
        <v>160</v>
      </c>
      <c r="EG118" t="s">
        <v>24</v>
      </c>
      <c r="EH118">
        <v>0</v>
      </c>
      <c r="EI118" t="s">
        <v>3</v>
      </c>
      <c r="EJ118">
        <v>1</v>
      </c>
      <c r="EK118">
        <v>1114</v>
      </c>
      <c r="EL118" t="s">
        <v>25</v>
      </c>
      <c r="EM118" t="s">
        <v>26</v>
      </c>
      <c r="EO118" t="s">
        <v>3</v>
      </c>
      <c r="EQ118">
        <v>256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FQ118">
        <v>0</v>
      </c>
      <c r="FR118">
        <f t="shared" si="127"/>
        <v>0</v>
      </c>
      <c r="FS118">
        <v>0</v>
      </c>
      <c r="FX118">
        <v>0</v>
      </c>
      <c r="FY118">
        <v>0</v>
      </c>
      <c r="GA118" t="s">
        <v>3</v>
      </c>
      <c r="GD118">
        <v>0</v>
      </c>
      <c r="GF118">
        <v>-589967668</v>
      </c>
      <c r="GG118">
        <v>2</v>
      </c>
      <c r="GH118">
        <v>0</v>
      </c>
      <c r="GI118">
        <v>-2</v>
      </c>
      <c r="GJ118">
        <v>0</v>
      </c>
      <c r="GK118">
        <f>ROUND(R118*(R12)/100,2)</f>
        <v>0</v>
      </c>
      <c r="GL118">
        <f t="shared" si="128"/>
        <v>0</v>
      </c>
      <c r="GM118">
        <f t="shared" si="129"/>
        <v>0</v>
      </c>
      <c r="GN118">
        <f t="shared" si="130"/>
        <v>0</v>
      </c>
      <c r="GO118">
        <f t="shared" si="131"/>
        <v>0</v>
      </c>
      <c r="GP118">
        <f t="shared" si="132"/>
        <v>0</v>
      </c>
      <c r="GR118">
        <v>0</v>
      </c>
      <c r="GT118">
        <v>0</v>
      </c>
      <c r="GU118">
        <v>1</v>
      </c>
      <c r="GV118">
        <v>0</v>
      </c>
      <c r="GW118">
        <v>0</v>
      </c>
    </row>
    <row r="119" spans="1:205" x14ac:dyDescent="0.2">
      <c r="A119">
        <v>17</v>
      </c>
      <c r="B119">
        <v>1</v>
      </c>
      <c r="E119" t="s">
        <v>186</v>
      </c>
      <c r="F119" t="s">
        <v>187</v>
      </c>
      <c r="G119" t="s">
        <v>188</v>
      </c>
      <c r="H119" t="s">
        <v>189</v>
      </c>
      <c r="I119">
        <v>1</v>
      </c>
      <c r="J119">
        <v>0</v>
      </c>
      <c r="O119">
        <f t="shared" si="102"/>
        <v>235254.42</v>
      </c>
      <c r="P119">
        <f t="shared" si="103"/>
        <v>108222.12</v>
      </c>
      <c r="Q119">
        <f t="shared" si="104"/>
        <v>40097.71</v>
      </c>
      <c r="R119">
        <f t="shared" si="105"/>
        <v>0</v>
      </c>
      <c r="S119">
        <f t="shared" si="106"/>
        <v>86934.59</v>
      </c>
      <c r="T119">
        <f t="shared" si="107"/>
        <v>0</v>
      </c>
      <c r="U119">
        <f t="shared" si="108"/>
        <v>0</v>
      </c>
      <c r="V119">
        <f t="shared" si="109"/>
        <v>0</v>
      </c>
      <c r="W119">
        <f t="shared" si="110"/>
        <v>0</v>
      </c>
      <c r="X119">
        <f t="shared" si="111"/>
        <v>0</v>
      </c>
      <c r="Y119">
        <f t="shared" si="112"/>
        <v>0</v>
      </c>
      <c r="AA119">
        <v>90163004</v>
      </c>
      <c r="AB119">
        <f t="shared" si="113"/>
        <v>32364.402999999998</v>
      </c>
      <c r="AC119">
        <f>ROUND(((ES119*0.82)),6)</f>
        <v>22313.84</v>
      </c>
      <c r="AD119">
        <f>ROUND(((ET119*1.15*0.65)),6)</f>
        <v>3750.9549999999999</v>
      </c>
      <c r="AE119">
        <f>ROUND(((EU119*1.15*0.65)),6)</f>
        <v>0</v>
      </c>
      <c r="AF119">
        <f>ROUND(((EV119*1.15*0.73)),6)</f>
        <v>6299.6080000000002</v>
      </c>
      <c r="AG119">
        <f t="shared" si="114"/>
        <v>0</v>
      </c>
      <c r="AH119">
        <f>((EW119*1.15*0.73))</f>
        <v>0</v>
      </c>
      <c r="AI119">
        <f>((EX119*1.15*0.65))</f>
        <v>0</v>
      </c>
      <c r="AJ119">
        <f t="shared" si="115"/>
        <v>0</v>
      </c>
      <c r="AK119">
        <v>39734</v>
      </c>
      <c r="AL119">
        <v>27212</v>
      </c>
      <c r="AM119">
        <v>5018</v>
      </c>
      <c r="AN119">
        <v>0</v>
      </c>
      <c r="AO119">
        <v>7504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1</v>
      </c>
      <c r="AW119">
        <v>1</v>
      </c>
      <c r="AZ119">
        <v>1</v>
      </c>
      <c r="BA119">
        <v>13.8</v>
      </c>
      <c r="BB119">
        <v>10.69</v>
      </c>
      <c r="BC119">
        <v>4.8499999999999996</v>
      </c>
      <c r="BD119" t="s">
        <v>3</v>
      </c>
      <c r="BE119" t="s">
        <v>3</v>
      </c>
      <c r="BF119" t="s">
        <v>3</v>
      </c>
      <c r="BG119" t="s">
        <v>3</v>
      </c>
      <c r="BH119">
        <v>0</v>
      </c>
      <c r="BI119">
        <v>1</v>
      </c>
      <c r="BJ119" t="s">
        <v>190</v>
      </c>
      <c r="BM119">
        <v>1114</v>
      </c>
      <c r="BN119">
        <v>0</v>
      </c>
      <c r="BO119" t="s">
        <v>187</v>
      </c>
      <c r="BP119">
        <v>1</v>
      </c>
      <c r="BQ119">
        <v>160</v>
      </c>
      <c r="BR119">
        <v>0</v>
      </c>
      <c r="BS119">
        <v>13.8</v>
      </c>
      <c r="BT119">
        <v>1</v>
      </c>
      <c r="BU119">
        <v>1</v>
      </c>
      <c r="BV119">
        <v>1</v>
      </c>
      <c r="BW119">
        <v>1</v>
      </c>
      <c r="BX119">
        <v>1</v>
      </c>
      <c r="BY119" t="s">
        <v>3</v>
      </c>
      <c r="BZ119">
        <v>0</v>
      </c>
      <c r="CA119">
        <v>0</v>
      </c>
      <c r="CF119">
        <v>0</v>
      </c>
      <c r="CG119">
        <v>0</v>
      </c>
      <c r="CM119">
        <v>0</v>
      </c>
      <c r="CN119" t="s">
        <v>141</v>
      </c>
      <c r="CO119">
        <v>0</v>
      </c>
      <c r="CP119">
        <f t="shared" si="116"/>
        <v>235254.41999999998</v>
      </c>
      <c r="CQ119">
        <f t="shared" si="117"/>
        <v>108222.124</v>
      </c>
      <c r="CR119">
        <f t="shared" si="118"/>
        <v>40097.70895</v>
      </c>
      <c r="CS119">
        <f t="shared" si="119"/>
        <v>0</v>
      </c>
      <c r="CT119">
        <f t="shared" si="120"/>
        <v>86934.590400000001</v>
      </c>
      <c r="CU119">
        <f t="shared" si="121"/>
        <v>0</v>
      </c>
      <c r="CV119">
        <f t="shared" si="122"/>
        <v>0</v>
      </c>
      <c r="CW119">
        <f t="shared" si="123"/>
        <v>0</v>
      </c>
      <c r="CX119">
        <f t="shared" si="124"/>
        <v>0</v>
      </c>
      <c r="CY119">
        <f t="shared" si="125"/>
        <v>0</v>
      </c>
      <c r="CZ119">
        <f t="shared" si="126"/>
        <v>0</v>
      </c>
      <c r="DC119" t="s">
        <v>3</v>
      </c>
      <c r="DD119" t="s">
        <v>191</v>
      </c>
      <c r="DE119" t="s">
        <v>192</v>
      </c>
      <c r="DF119" t="s">
        <v>192</v>
      </c>
      <c r="DG119" t="s">
        <v>193</v>
      </c>
      <c r="DH119" t="s">
        <v>3</v>
      </c>
      <c r="DI119" t="s">
        <v>193</v>
      </c>
      <c r="DJ119" t="s">
        <v>192</v>
      </c>
      <c r="DK119" t="s">
        <v>3</v>
      </c>
      <c r="DL119" t="s">
        <v>3</v>
      </c>
      <c r="DM119" t="s">
        <v>3</v>
      </c>
      <c r="DN119">
        <v>0</v>
      </c>
      <c r="DO119">
        <v>0</v>
      </c>
      <c r="DP119">
        <v>1</v>
      </c>
      <c r="DQ119">
        <v>1</v>
      </c>
      <c r="DU119">
        <v>1013</v>
      </c>
      <c r="DV119" t="s">
        <v>189</v>
      </c>
      <c r="DW119" t="s">
        <v>189</v>
      </c>
      <c r="DX119">
        <v>1</v>
      </c>
      <c r="EE119">
        <v>33196057</v>
      </c>
      <c r="EF119">
        <v>160</v>
      </c>
      <c r="EG119" t="s">
        <v>24</v>
      </c>
      <c r="EH119">
        <v>0</v>
      </c>
      <c r="EI119" t="s">
        <v>3</v>
      </c>
      <c r="EJ119">
        <v>1</v>
      </c>
      <c r="EK119">
        <v>1114</v>
      </c>
      <c r="EL119" t="s">
        <v>25</v>
      </c>
      <c r="EM119" t="s">
        <v>26</v>
      </c>
      <c r="EO119" t="s">
        <v>3</v>
      </c>
      <c r="EQ119">
        <v>256</v>
      </c>
      <c r="ER119">
        <v>39734</v>
      </c>
      <c r="ES119">
        <v>27212</v>
      </c>
      <c r="ET119">
        <v>5018</v>
      </c>
      <c r="EU119">
        <v>0</v>
      </c>
      <c r="EV119">
        <v>7504</v>
      </c>
      <c r="EW119">
        <v>0</v>
      </c>
      <c r="EX119">
        <v>0</v>
      </c>
      <c r="EY119">
        <v>0</v>
      </c>
      <c r="FQ119">
        <v>0</v>
      </c>
      <c r="FR119">
        <f t="shared" si="127"/>
        <v>0</v>
      </c>
      <c r="FS119">
        <v>0</v>
      </c>
      <c r="FX119">
        <v>0</v>
      </c>
      <c r="FY119">
        <v>0</v>
      </c>
      <c r="GA119" t="s">
        <v>3</v>
      </c>
      <c r="GD119">
        <v>0</v>
      </c>
      <c r="GF119">
        <v>994366532</v>
      </c>
      <c r="GG119">
        <v>2</v>
      </c>
      <c r="GH119">
        <v>1</v>
      </c>
      <c r="GI119">
        <v>2</v>
      </c>
      <c r="GJ119">
        <v>0</v>
      </c>
      <c r="GK119">
        <f>ROUND(R119*(R12)/100,2)</f>
        <v>0</v>
      </c>
      <c r="GL119">
        <f t="shared" si="128"/>
        <v>0</v>
      </c>
      <c r="GM119">
        <f t="shared" si="129"/>
        <v>235254.42</v>
      </c>
      <c r="GN119">
        <f t="shared" si="130"/>
        <v>235254.42</v>
      </c>
      <c r="GO119">
        <f t="shared" si="131"/>
        <v>0</v>
      </c>
      <c r="GP119">
        <f t="shared" si="132"/>
        <v>0</v>
      </c>
      <c r="GR119">
        <v>0</v>
      </c>
      <c r="GT119">
        <v>0</v>
      </c>
      <c r="GU119">
        <v>1</v>
      </c>
      <c r="GV119">
        <v>0</v>
      </c>
      <c r="GW119">
        <v>0</v>
      </c>
    </row>
    <row r="120" spans="1:205" x14ac:dyDescent="0.2">
      <c r="A120">
        <v>17</v>
      </c>
      <c r="B120">
        <v>1</v>
      </c>
      <c r="C120">
        <f>ROW(SmtRes!A48)</f>
        <v>48</v>
      </c>
      <c r="D120">
        <f>ROW(EtalonRes!A46)</f>
        <v>46</v>
      </c>
      <c r="E120" t="s">
        <v>194</v>
      </c>
      <c r="F120" t="s">
        <v>149</v>
      </c>
      <c r="G120" t="s">
        <v>150</v>
      </c>
      <c r="H120" t="s">
        <v>151</v>
      </c>
      <c r="I120">
        <f>ROUND((5.2+4.6)*2*5,9)</f>
        <v>98</v>
      </c>
      <c r="J120">
        <v>0</v>
      </c>
      <c r="O120">
        <f t="shared" si="102"/>
        <v>151617.56</v>
      </c>
      <c r="P120">
        <f t="shared" si="103"/>
        <v>54028.38</v>
      </c>
      <c r="Q120">
        <f t="shared" si="104"/>
        <v>26337.99</v>
      </c>
      <c r="R120">
        <f t="shared" si="105"/>
        <v>0</v>
      </c>
      <c r="S120">
        <f t="shared" si="106"/>
        <v>71251.19</v>
      </c>
      <c r="T120">
        <f t="shared" si="107"/>
        <v>0</v>
      </c>
      <c r="U120">
        <f t="shared" si="108"/>
        <v>0</v>
      </c>
      <c r="V120">
        <f t="shared" si="109"/>
        <v>0</v>
      </c>
      <c r="W120">
        <f t="shared" si="110"/>
        <v>19.600000000000001</v>
      </c>
      <c r="X120">
        <f t="shared" si="111"/>
        <v>0</v>
      </c>
      <c r="Y120">
        <f t="shared" si="112"/>
        <v>0</v>
      </c>
      <c r="AA120">
        <v>90163004</v>
      </c>
      <c r="AB120">
        <f t="shared" si="113"/>
        <v>150.65</v>
      </c>
      <c r="AC120">
        <f t="shared" ref="AC120:AC126" si="134">ROUND((ES120),6)</f>
        <v>69</v>
      </c>
      <c r="AD120">
        <f>ROUND(((ET120*1.15)),6)</f>
        <v>34.5</v>
      </c>
      <c r="AE120">
        <f>ROUND(((EU120*1.15)),6)</f>
        <v>0</v>
      </c>
      <c r="AF120">
        <f>ROUND(((EV120*1.15)),6)</f>
        <v>47.15</v>
      </c>
      <c r="AG120">
        <f t="shared" si="114"/>
        <v>0</v>
      </c>
      <c r="AH120">
        <f>((EW120*1.15))</f>
        <v>0</v>
      </c>
      <c r="AI120">
        <f>((EX120*1.15))</f>
        <v>0</v>
      </c>
      <c r="AJ120">
        <f t="shared" si="115"/>
        <v>0.2</v>
      </c>
      <c r="AK120">
        <v>140</v>
      </c>
      <c r="AL120">
        <v>69</v>
      </c>
      <c r="AM120">
        <v>30</v>
      </c>
      <c r="AN120">
        <v>0</v>
      </c>
      <c r="AO120">
        <v>41</v>
      </c>
      <c r="AP120">
        <v>0</v>
      </c>
      <c r="AQ120">
        <v>0</v>
      </c>
      <c r="AR120">
        <v>0</v>
      </c>
      <c r="AS120">
        <v>0.2</v>
      </c>
      <c r="AT120">
        <v>0</v>
      </c>
      <c r="AU120">
        <v>0</v>
      </c>
      <c r="AV120">
        <v>1</v>
      </c>
      <c r="AW120">
        <v>1</v>
      </c>
      <c r="AZ120">
        <v>1</v>
      </c>
      <c r="BA120">
        <v>15.42</v>
      </c>
      <c r="BB120">
        <v>7.79</v>
      </c>
      <c r="BC120">
        <v>7.99</v>
      </c>
      <c r="BD120" t="s">
        <v>3</v>
      </c>
      <c r="BE120" t="s">
        <v>3</v>
      </c>
      <c r="BF120" t="s">
        <v>3</v>
      </c>
      <c r="BG120" t="s">
        <v>3</v>
      </c>
      <c r="BH120">
        <v>0</v>
      </c>
      <c r="BI120">
        <v>1</v>
      </c>
      <c r="BJ120" t="s">
        <v>152</v>
      </c>
      <c r="BM120">
        <v>1114</v>
      </c>
      <c r="BN120">
        <v>0</v>
      </c>
      <c r="BO120" t="s">
        <v>149</v>
      </c>
      <c r="BP120">
        <v>1</v>
      </c>
      <c r="BQ120">
        <v>160</v>
      </c>
      <c r="BR120">
        <v>0</v>
      </c>
      <c r="BS120">
        <v>15.42</v>
      </c>
      <c r="BT120">
        <v>1</v>
      </c>
      <c r="BU120">
        <v>1</v>
      </c>
      <c r="BV120">
        <v>1</v>
      </c>
      <c r="BW120">
        <v>1</v>
      </c>
      <c r="BX120">
        <v>1</v>
      </c>
      <c r="BY120" t="s">
        <v>3</v>
      </c>
      <c r="BZ120">
        <v>0</v>
      </c>
      <c r="CA120">
        <v>0</v>
      </c>
      <c r="CF120">
        <v>0</v>
      </c>
      <c r="CG120">
        <v>0</v>
      </c>
      <c r="CM120">
        <v>0</v>
      </c>
      <c r="CN120" t="s">
        <v>3</v>
      </c>
      <c r="CO120">
        <v>0</v>
      </c>
      <c r="CP120">
        <f t="shared" si="116"/>
        <v>151617.56</v>
      </c>
      <c r="CQ120">
        <f t="shared" si="117"/>
        <v>551.31000000000006</v>
      </c>
      <c r="CR120">
        <f t="shared" si="118"/>
        <v>268.755</v>
      </c>
      <c r="CS120">
        <f t="shared" si="119"/>
        <v>0</v>
      </c>
      <c r="CT120">
        <f t="shared" si="120"/>
        <v>727.053</v>
      </c>
      <c r="CU120">
        <f t="shared" si="121"/>
        <v>0</v>
      </c>
      <c r="CV120">
        <f t="shared" si="122"/>
        <v>0</v>
      </c>
      <c r="CW120">
        <f t="shared" si="123"/>
        <v>0</v>
      </c>
      <c r="CX120">
        <f t="shared" si="124"/>
        <v>0.2</v>
      </c>
      <c r="CY120">
        <f t="shared" si="125"/>
        <v>0</v>
      </c>
      <c r="CZ120">
        <f t="shared" si="126"/>
        <v>0</v>
      </c>
      <c r="DC120" t="s">
        <v>3</v>
      </c>
      <c r="DD120" t="s">
        <v>3</v>
      </c>
      <c r="DE120" t="s">
        <v>47</v>
      </c>
      <c r="DF120" t="s">
        <v>47</v>
      </c>
      <c r="DG120" t="s">
        <v>47</v>
      </c>
      <c r="DH120" t="s">
        <v>3</v>
      </c>
      <c r="DI120" t="s">
        <v>47</v>
      </c>
      <c r="DJ120" t="s">
        <v>47</v>
      </c>
      <c r="DK120" t="s">
        <v>3</v>
      </c>
      <c r="DL120" t="s">
        <v>3</v>
      </c>
      <c r="DM120" t="s">
        <v>3</v>
      </c>
      <c r="DN120">
        <v>0</v>
      </c>
      <c r="DO120">
        <v>0</v>
      </c>
      <c r="DP120">
        <v>1</v>
      </c>
      <c r="DQ120">
        <v>1</v>
      </c>
      <c r="DU120">
        <v>1005</v>
      </c>
      <c r="DV120" t="s">
        <v>151</v>
      </c>
      <c r="DW120" t="s">
        <v>151</v>
      </c>
      <c r="DX120">
        <v>1</v>
      </c>
      <c r="EE120">
        <v>33196057</v>
      </c>
      <c r="EF120">
        <v>160</v>
      </c>
      <c r="EG120" t="s">
        <v>24</v>
      </c>
      <c r="EH120">
        <v>0</v>
      </c>
      <c r="EI120" t="s">
        <v>3</v>
      </c>
      <c r="EJ120">
        <v>1</v>
      </c>
      <c r="EK120">
        <v>1114</v>
      </c>
      <c r="EL120" t="s">
        <v>25</v>
      </c>
      <c r="EM120" t="s">
        <v>26</v>
      </c>
      <c r="EO120" t="s">
        <v>3</v>
      </c>
      <c r="EQ120">
        <v>0</v>
      </c>
      <c r="ER120">
        <v>140</v>
      </c>
      <c r="ES120">
        <v>69</v>
      </c>
      <c r="ET120">
        <v>30</v>
      </c>
      <c r="EU120">
        <v>0</v>
      </c>
      <c r="EV120">
        <v>41</v>
      </c>
      <c r="EW120">
        <v>0</v>
      </c>
      <c r="EX120">
        <v>0</v>
      </c>
      <c r="EY120">
        <v>0</v>
      </c>
      <c r="FQ120">
        <v>0</v>
      </c>
      <c r="FR120">
        <f t="shared" si="127"/>
        <v>0</v>
      </c>
      <c r="FS120">
        <v>0</v>
      </c>
      <c r="FX120">
        <v>0</v>
      </c>
      <c r="FY120">
        <v>0</v>
      </c>
      <c r="GA120" t="s">
        <v>3</v>
      </c>
      <c r="GD120">
        <v>0</v>
      </c>
      <c r="GF120">
        <v>-1225497977</v>
      </c>
      <c r="GG120">
        <v>2</v>
      </c>
      <c r="GH120">
        <v>1</v>
      </c>
      <c r="GI120">
        <v>2</v>
      </c>
      <c r="GJ120">
        <v>0</v>
      </c>
      <c r="GK120">
        <f>ROUND(R120*(R12)/100,2)</f>
        <v>0</v>
      </c>
      <c r="GL120">
        <f t="shared" si="128"/>
        <v>0</v>
      </c>
      <c r="GM120">
        <f t="shared" si="129"/>
        <v>151617.56</v>
      </c>
      <c r="GN120">
        <f t="shared" si="130"/>
        <v>151617.56</v>
      </c>
      <c r="GO120">
        <f t="shared" si="131"/>
        <v>0</v>
      </c>
      <c r="GP120">
        <f t="shared" si="132"/>
        <v>0</v>
      </c>
      <c r="GR120">
        <v>0</v>
      </c>
      <c r="GT120">
        <v>0</v>
      </c>
      <c r="GU120">
        <v>1</v>
      </c>
      <c r="GV120">
        <v>-0.2</v>
      </c>
      <c r="GW120">
        <v>0</v>
      </c>
    </row>
    <row r="121" spans="1:205" x14ac:dyDescent="0.2">
      <c r="A121">
        <v>18</v>
      </c>
      <c r="B121">
        <v>1</v>
      </c>
      <c r="C121">
        <v>48</v>
      </c>
      <c r="E121" t="s">
        <v>195</v>
      </c>
      <c r="F121" t="s">
        <v>37</v>
      </c>
      <c r="G121" t="s">
        <v>41</v>
      </c>
      <c r="H121" t="s">
        <v>30</v>
      </c>
      <c r="I121">
        <f>I120*J121</f>
        <v>-19.600000000000001</v>
      </c>
      <c r="J121">
        <v>-0.2</v>
      </c>
      <c r="O121">
        <f t="shared" si="102"/>
        <v>0</v>
      </c>
      <c r="P121">
        <f t="shared" si="103"/>
        <v>0</v>
      </c>
      <c r="Q121">
        <f t="shared" si="104"/>
        <v>0</v>
      </c>
      <c r="R121">
        <f t="shared" si="105"/>
        <v>0</v>
      </c>
      <c r="S121">
        <f t="shared" si="106"/>
        <v>0</v>
      </c>
      <c r="T121">
        <f t="shared" si="107"/>
        <v>0</v>
      </c>
      <c r="U121">
        <f t="shared" si="108"/>
        <v>0</v>
      </c>
      <c r="V121">
        <f t="shared" si="109"/>
        <v>0</v>
      </c>
      <c r="W121">
        <f t="shared" si="110"/>
        <v>0</v>
      </c>
      <c r="X121">
        <f t="shared" si="111"/>
        <v>0</v>
      </c>
      <c r="Y121">
        <f t="shared" si="112"/>
        <v>0</v>
      </c>
      <c r="AA121">
        <v>90163004</v>
      </c>
      <c r="AB121">
        <f t="shared" si="113"/>
        <v>0</v>
      </c>
      <c r="AC121">
        <f t="shared" si="134"/>
        <v>0</v>
      </c>
      <c r="AD121">
        <f t="shared" ref="AD121:AF126" si="135">ROUND((ET121),6)</f>
        <v>0</v>
      </c>
      <c r="AE121">
        <f t="shared" si="135"/>
        <v>0</v>
      </c>
      <c r="AF121">
        <f t="shared" si="135"/>
        <v>0</v>
      </c>
      <c r="AG121">
        <f t="shared" si="114"/>
        <v>0</v>
      </c>
      <c r="AH121">
        <f t="shared" ref="AH121:AI126" si="136">(EW121)</f>
        <v>0</v>
      </c>
      <c r="AI121">
        <f t="shared" si="136"/>
        <v>0</v>
      </c>
      <c r="AJ121">
        <f t="shared" si="115"/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1</v>
      </c>
      <c r="AW121">
        <v>1</v>
      </c>
      <c r="AZ121">
        <v>1</v>
      </c>
      <c r="BA121">
        <v>1</v>
      </c>
      <c r="BB121">
        <v>1</v>
      </c>
      <c r="BC121">
        <v>1</v>
      </c>
      <c r="BD121" t="s">
        <v>3</v>
      </c>
      <c r="BE121" t="s">
        <v>3</v>
      </c>
      <c r="BF121" t="s">
        <v>3</v>
      </c>
      <c r="BG121" t="s">
        <v>3</v>
      </c>
      <c r="BH121">
        <v>3</v>
      </c>
      <c r="BI121">
        <v>1</v>
      </c>
      <c r="BJ121" t="s">
        <v>3</v>
      </c>
      <c r="BM121">
        <v>1114</v>
      </c>
      <c r="BN121">
        <v>0</v>
      </c>
      <c r="BO121" t="s">
        <v>3</v>
      </c>
      <c r="BP121">
        <v>0</v>
      </c>
      <c r="BQ121">
        <v>160</v>
      </c>
      <c r="BR121">
        <v>1</v>
      </c>
      <c r="BS121">
        <v>1</v>
      </c>
      <c r="BT121">
        <v>1</v>
      </c>
      <c r="BU121">
        <v>1</v>
      </c>
      <c r="BV121">
        <v>1</v>
      </c>
      <c r="BW121">
        <v>1</v>
      </c>
      <c r="BX121">
        <v>1</v>
      </c>
      <c r="BY121" t="s">
        <v>3</v>
      </c>
      <c r="BZ121">
        <v>0</v>
      </c>
      <c r="CA121">
        <v>0</v>
      </c>
      <c r="CF121">
        <v>0</v>
      </c>
      <c r="CG121">
        <v>0</v>
      </c>
      <c r="CM121">
        <v>0</v>
      </c>
      <c r="CN121" t="s">
        <v>3</v>
      </c>
      <c r="CO121">
        <v>0</v>
      </c>
      <c r="CP121">
        <f t="shared" si="116"/>
        <v>0</v>
      </c>
      <c r="CQ121">
        <f t="shared" si="117"/>
        <v>0</v>
      </c>
      <c r="CR121">
        <f t="shared" si="118"/>
        <v>0</v>
      </c>
      <c r="CS121">
        <f t="shared" si="119"/>
        <v>0</v>
      </c>
      <c r="CT121">
        <f t="shared" si="120"/>
        <v>0</v>
      </c>
      <c r="CU121">
        <f t="shared" si="121"/>
        <v>0</v>
      </c>
      <c r="CV121">
        <f t="shared" si="122"/>
        <v>0</v>
      </c>
      <c r="CW121">
        <f t="shared" si="123"/>
        <v>0</v>
      </c>
      <c r="CX121">
        <f t="shared" si="124"/>
        <v>0</v>
      </c>
      <c r="CY121">
        <f t="shared" si="125"/>
        <v>0</v>
      </c>
      <c r="CZ121">
        <f t="shared" si="126"/>
        <v>0</v>
      </c>
      <c r="DC121" t="s">
        <v>3</v>
      </c>
      <c r="DD121" t="s">
        <v>3</v>
      </c>
      <c r="DE121" t="s">
        <v>3</v>
      </c>
      <c r="DF121" t="s">
        <v>3</v>
      </c>
      <c r="DG121" t="s">
        <v>3</v>
      </c>
      <c r="DH121" t="s">
        <v>3</v>
      </c>
      <c r="DI121" t="s">
        <v>3</v>
      </c>
      <c r="DJ121" t="s">
        <v>3</v>
      </c>
      <c r="DK121" t="s">
        <v>3</v>
      </c>
      <c r="DL121" t="s">
        <v>3</v>
      </c>
      <c r="DM121" t="s">
        <v>3</v>
      </c>
      <c r="DN121">
        <v>0</v>
      </c>
      <c r="DO121">
        <v>0</v>
      </c>
      <c r="DP121">
        <v>1</v>
      </c>
      <c r="DQ121">
        <v>1</v>
      </c>
      <c r="DU121">
        <v>1007</v>
      </c>
      <c r="DV121" t="s">
        <v>30</v>
      </c>
      <c r="DW121" t="s">
        <v>30</v>
      </c>
      <c r="DX121">
        <v>1</v>
      </c>
      <c r="EE121">
        <v>33196057</v>
      </c>
      <c r="EF121">
        <v>160</v>
      </c>
      <c r="EG121" t="s">
        <v>24</v>
      </c>
      <c r="EH121">
        <v>0</v>
      </c>
      <c r="EI121" t="s">
        <v>3</v>
      </c>
      <c r="EJ121">
        <v>1</v>
      </c>
      <c r="EK121">
        <v>1114</v>
      </c>
      <c r="EL121" t="s">
        <v>25</v>
      </c>
      <c r="EM121" t="s">
        <v>26</v>
      </c>
      <c r="EO121" t="s">
        <v>3</v>
      </c>
      <c r="EQ121">
        <v>32768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FQ121">
        <v>0</v>
      </c>
      <c r="FR121">
        <f t="shared" si="127"/>
        <v>0</v>
      </c>
      <c r="FS121">
        <v>0</v>
      </c>
      <c r="FX121">
        <v>0</v>
      </c>
      <c r="FY121">
        <v>0</v>
      </c>
      <c r="GA121" t="s">
        <v>3</v>
      </c>
      <c r="GD121">
        <v>0</v>
      </c>
      <c r="GF121">
        <v>-589967668</v>
      </c>
      <c r="GG121">
        <v>2</v>
      </c>
      <c r="GH121">
        <v>0</v>
      </c>
      <c r="GI121">
        <v>-2</v>
      </c>
      <c r="GJ121">
        <v>0</v>
      </c>
      <c r="GK121">
        <f>ROUND(R121*(R12)/100,2)</f>
        <v>0</v>
      </c>
      <c r="GL121">
        <f t="shared" si="128"/>
        <v>0</v>
      </c>
      <c r="GM121">
        <f t="shared" si="129"/>
        <v>0</v>
      </c>
      <c r="GN121">
        <f t="shared" si="130"/>
        <v>0</v>
      </c>
      <c r="GO121">
        <f t="shared" si="131"/>
        <v>0</v>
      </c>
      <c r="GP121">
        <f t="shared" si="132"/>
        <v>0</v>
      </c>
      <c r="GR121">
        <v>0</v>
      </c>
      <c r="GT121">
        <v>0</v>
      </c>
      <c r="GU121">
        <v>1</v>
      </c>
      <c r="GV121">
        <v>0</v>
      </c>
      <c r="GW121">
        <v>0</v>
      </c>
    </row>
    <row r="122" spans="1:205" x14ac:dyDescent="0.2">
      <c r="A122">
        <v>17</v>
      </c>
      <c r="B122">
        <v>1</v>
      </c>
      <c r="C122">
        <f>ROW(SmtRes!A51)</f>
        <v>51</v>
      </c>
      <c r="D122">
        <f>ROW(EtalonRes!A49)</f>
        <v>49</v>
      </c>
      <c r="E122" t="s">
        <v>196</v>
      </c>
      <c r="F122" t="s">
        <v>61</v>
      </c>
      <c r="G122" t="s">
        <v>62</v>
      </c>
      <c r="H122" t="s">
        <v>63</v>
      </c>
      <c r="I122">
        <f>ROUND((19.6+6.65)/100,9)</f>
        <v>0.26250000000000001</v>
      </c>
      <c r="J122">
        <v>0</v>
      </c>
      <c r="O122">
        <f t="shared" si="102"/>
        <v>1852.44</v>
      </c>
      <c r="P122">
        <f t="shared" si="103"/>
        <v>0</v>
      </c>
      <c r="Q122">
        <f t="shared" si="104"/>
        <v>1775.41</v>
      </c>
      <c r="R122">
        <f t="shared" si="105"/>
        <v>767.48</v>
      </c>
      <c r="S122">
        <f t="shared" si="106"/>
        <v>77.03</v>
      </c>
      <c r="T122">
        <f t="shared" si="107"/>
        <v>0</v>
      </c>
      <c r="U122">
        <f t="shared" si="108"/>
        <v>0.43180199999999996</v>
      </c>
      <c r="V122">
        <f t="shared" si="109"/>
        <v>0</v>
      </c>
      <c r="W122">
        <f t="shared" si="110"/>
        <v>0</v>
      </c>
      <c r="X122">
        <f t="shared" si="111"/>
        <v>74.72</v>
      </c>
      <c r="Y122">
        <f t="shared" si="112"/>
        <v>41.6</v>
      </c>
      <c r="AA122">
        <v>90163004</v>
      </c>
      <c r="AB122">
        <f t="shared" si="113"/>
        <v>771.65</v>
      </c>
      <c r="AC122">
        <f t="shared" si="134"/>
        <v>0</v>
      </c>
      <c r="AD122">
        <f t="shared" si="135"/>
        <v>757.55</v>
      </c>
      <c r="AE122">
        <f t="shared" si="135"/>
        <v>140.47999999999999</v>
      </c>
      <c r="AF122">
        <f t="shared" si="135"/>
        <v>14.1</v>
      </c>
      <c r="AG122">
        <f t="shared" si="114"/>
        <v>0</v>
      </c>
      <c r="AH122">
        <f t="shared" si="136"/>
        <v>1.38</v>
      </c>
      <c r="AI122">
        <f t="shared" si="136"/>
        <v>0</v>
      </c>
      <c r="AJ122">
        <f t="shared" si="115"/>
        <v>0</v>
      </c>
      <c r="AK122">
        <v>771.65</v>
      </c>
      <c r="AL122">
        <v>0</v>
      </c>
      <c r="AM122">
        <v>757.55</v>
      </c>
      <c r="AN122">
        <v>140.47999999999999</v>
      </c>
      <c r="AO122">
        <v>14.1</v>
      </c>
      <c r="AP122">
        <v>0</v>
      </c>
      <c r="AQ122">
        <v>1.38</v>
      </c>
      <c r="AR122">
        <v>0</v>
      </c>
      <c r="AS122">
        <v>0</v>
      </c>
      <c r="AT122">
        <v>97</v>
      </c>
      <c r="AU122">
        <v>54</v>
      </c>
      <c r="AV122">
        <v>1.1919999999999999</v>
      </c>
      <c r="AW122">
        <v>1</v>
      </c>
      <c r="AZ122">
        <v>1</v>
      </c>
      <c r="BA122">
        <v>17.46</v>
      </c>
      <c r="BB122">
        <v>7.49</v>
      </c>
      <c r="BC122">
        <v>1</v>
      </c>
      <c r="BD122" t="s">
        <v>3</v>
      </c>
      <c r="BE122" t="s">
        <v>3</v>
      </c>
      <c r="BF122" t="s">
        <v>3</v>
      </c>
      <c r="BG122" t="s">
        <v>3</v>
      </c>
      <c r="BH122">
        <v>0</v>
      </c>
      <c r="BI122">
        <v>1</v>
      </c>
      <c r="BJ122" t="s">
        <v>64</v>
      </c>
      <c r="BM122">
        <v>2</v>
      </c>
      <c r="BN122">
        <v>0</v>
      </c>
      <c r="BO122" t="s">
        <v>61</v>
      </c>
      <c r="BP122">
        <v>1</v>
      </c>
      <c r="BQ122">
        <v>30</v>
      </c>
      <c r="BR122">
        <v>0</v>
      </c>
      <c r="BS122">
        <v>17.46</v>
      </c>
      <c r="BT122">
        <v>1</v>
      </c>
      <c r="BU122">
        <v>1</v>
      </c>
      <c r="BV122">
        <v>1</v>
      </c>
      <c r="BW122">
        <v>1</v>
      </c>
      <c r="BX122">
        <v>1</v>
      </c>
      <c r="BY122" t="s">
        <v>3</v>
      </c>
      <c r="BZ122">
        <v>97</v>
      </c>
      <c r="CA122">
        <v>54</v>
      </c>
      <c r="CF122">
        <v>0</v>
      </c>
      <c r="CG122">
        <v>0</v>
      </c>
      <c r="CM122">
        <v>0</v>
      </c>
      <c r="CN122" t="s">
        <v>3</v>
      </c>
      <c r="CO122">
        <v>0</v>
      </c>
      <c r="CP122">
        <f t="shared" si="116"/>
        <v>1852.44</v>
      </c>
      <c r="CQ122">
        <f t="shared" si="117"/>
        <v>0</v>
      </c>
      <c r="CR122">
        <f t="shared" si="118"/>
        <v>6763.4670040000001</v>
      </c>
      <c r="CS122">
        <f t="shared" si="119"/>
        <v>2923.7147135999999</v>
      </c>
      <c r="CT122">
        <f t="shared" si="120"/>
        <v>293.453712</v>
      </c>
      <c r="CU122">
        <f t="shared" si="121"/>
        <v>0</v>
      </c>
      <c r="CV122">
        <f t="shared" si="122"/>
        <v>1.6449599999999998</v>
      </c>
      <c r="CW122">
        <f t="shared" si="123"/>
        <v>0</v>
      </c>
      <c r="CX122">
        <f t="shared" si="124"/>
        <v>0</v>
      </c>
      <c r="CY122">
        <f t="shared" si="125"/>
        <v>74.719099999999997</v>
      </c>
      <c r="CZ122">
        <f t="shared" si="126"/>
        <v>41.596200000000003</v>
      </c>
      <c r="DC122" t="s">
        <v>3</v>
      </c>
      <c r="DD122" t="s">
        <v>3</v>
      </c>
      <c r="DE122" t="s">
        <v>3</v>
      </c>
      <c r="DF122" t="s">
        <v>3</v>
      </c>
      <c r="DG122" t="s">
        <v>3</v>
      </c>
      <c r="DH122" t="s">
        <v>3</v>
      </c>
      <c r="DI122" t="s">
        <v>3</v>
      </c>
      <c r="DJ122" t="s">
        <v>3</v>
      </c>
      <c r="DK122" t="s">
        <v>3</v>
      </c>
      <c r="DL122" t="s">
        <v>3</v>
      </c>
      <c r="DM122" t="s">
        <v>3</v>
      </c>
      <c r="DN122">
        <v>98</v>
      </c>
      <c r="DO122">
        <v>77</v>
      </c>
      <c r="DP122">
        <v>1.1919999999999999</v>
      </c>
      <c r="DQ122">
        <v>1</v>
      </c>
      <c r="DU122">
        <v>1007</v>
      </c>
      <c r="DV122" t="s">
        <v>63</v>
      </c>
      <c r="DW122" t="s">
        <v>63</v>
      </c>
      <c r="DX122">
        <v>100</v>
      </c>
      <c r="EE122">
        <v>33193650</v>
      </c>
      <c r="EF122">
        <v>30</v>
      </c>
      <c r="EG122" t="s">
        <v>48</v>
      </c>
      <c r="EH122">
        <v>0</v>
      </c>
      <c r="EI122" t="s">
        <v>3</v>
      </c>
      <c r="EJ122">
        <v>1</v>
      </c>
      <c r="EK122">
        <v>2</v>
      </c>
      <c r="EL122" t="s">
        <v>65</v>
      </c>
      <c r="EM122" t="s">
        <v>66</v>
      </c>
      <c r="EO122" t="s">
        <v>3</v>
      </c>
      <c r="EQ122">
        <v>0</v>
      </c>
      <c r="ER122">
        <v>771.65</v>
      </c>
      <c r="ES122">
        <v>0</v>
      </c>
      <c r="ET122">
        <v>757.55</v>
      </c>
      <c r="EU122">
        <v>140.47999999999999</v>
      </c>
      <c r="EV122">
        <v>14.1</v>
      </c>
      <c r="EW122">
        <v>1.38</v>
      </c>
      <c r="EX122">
        <v>0</v>
      </c>
      <c r="EY122">
        <v>0</v>
      </c>
      <c r="FQ122">
        <v>0</v>
      </c>
      <c r="FR122">
        <f t="shared" si="127"/>
        <v>0</v>
      </c>
      <c r="FS122">
        <v>0</v>
      </c>
      <c r="FX122">
        <v>98</v>
      </c>
      <c r="FY122">
        <v>77</v>
      </c>
      <c r="GA122" t="s">
        <v>3</v>
      </c>
      <c r="GD122">
        <v>0</v>
      </c>
      <c r="GF122">
        <v>-1881523562</v>
      </c>
      <c r="GG122">
        <v>2</v>
      </c>
      <c r="GH122">
        <v>1</v>
      </c>
      <c r="GI122">
        <v>2</v>
      </c>
      <c r="GJ122">
        <v>0</v>
      </c>
      <c r="GK122">
        <f>ROUND(R122*(R12)/100,2)</f>
        <v>1281.69</v>
      </c>
      <c r="GL122">
        <f t="shared" si="128"/>
        <v>0</v>
      </c>
      <c r="GM122">
        <f t="shared" si="129"/>
        <v>3250.45</v>
      </c>
      <c r="GN122">
        <f t="shared" si="130"/>
        <v>3250.45</v>
      </c>
      <c r="GO122">
        <f t="shared" si="131"/>
        <v>0</v>
      </c>
      <c r="GP122">
        <f t="shared" si="132"/>
        <v>0</v>
      </c>
      <c r="GR122">
        <v>0</v>
      </c>
      <c r="GT122">
        <v>0</v>
      </c>
      <c r="GU122">
        <v>1</v>
      </c>
      <c r="GV122">
        <v>0</v>
      </c>
      <c r="GW122">
        <v>0</v>
      </c>
    </row>
    <row r="123" spans="1:205" x14ac:dyDescent="0.2">
      <c r="A123">
        <v>17</v>
      </c>
      <c r="B123">
        <v>1</v>
      </c>
      <c r="E123" t="s">
        <v>197</v>
      </c>
      <c r="F123" t="s">
        <v>68</v>
      </c>
      <c r="G123" t="s">
        <v>69</v>
      </c>
      <c r="H123" t="s">
        <v>30</v>
      </c>
      <c r="I123">
        <f>ROUND(I122*100,9)</f>
        <v>26.25</v>
      </c>
      <c r="J123">
        <v>0</v>
      </c>
      <c r="O123">
        <f t="shared" si="102"/>
        <v>16437.48</v>
      </c>
      <c r="P123">
        <f t="shared" si="103"/>
        <v>0</v>
      </c>
      <c r="Q123">
        <f t="shared" si="104"/>
        <v>16437.48</v>
      </c>
      <c r="R123">
        <f t="shared" si="105"/>
        <v>0</v>
      </c>
      <c r="S123">
        <f t="shared" si="106"/>
        <v>0</v>
      </c>
      <c r="T123">
        <f t="shared" si="107"/>
        <v>0</v>
      </c>
      <c r="U123">
        <f t="shared" si="108"/>
        <v>0</v>
      </c>
      <c r="V123">
        <f t="shared" si="109"/>
        <v>0</v>
      </c>
      <c r="W123">
        <f t="shared" si="110"/>
        <v>0</v>
      </c>
      <c r="X123">
        <f t="shared" si="111"/>
        <v>0</v>
      </c>
      <c r="Y123">
        <f t="shared" si="112"/>
        <v>0</v>
      </c>
      <c r="AA123">
        <v>90163004</v>
      </c>
      <c r="AB123">
        <f t="shared" si="113"/>
        <v>71.319999999999993</v>
      </c>
      <c r="AC123">
        <f t="shared" si="134"/>
        <v>0</v>
      </c>
      <c r="AD123">
        <f t="shared" si="135"/>
        <v>71.319999999999993</v>
      </c>
      <c r="AE123">
        <f t="shared" si="135"/>
        <v>0</v>
      </c>
      <c r="AF123">
        <f t="shared" si="135"/>
        <v>0</v>
      </c>
      <c r="AG123">
        <f t="shared" si="114"/>
        <v>0</v>
      </c>
      <c r="AH123">
        <f t="shared" si="136"/>
        <v>0</v>
      </c>
      <c r="AI123">
        <f t="shared" si="136"/>
        <v>0</v>
      </c>
      <c r="AJ123">
        <f t="shared" si="115"/>
        <v>0</v>
      </c>
      <c r="AK123">
        <v>71.319999999999993</v>
      </c>
      <c r="AL123">
        <v>0</v>
      </c>
      <c r="AM123">
        <v>71.319999999999993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1</v>
      </c>
      <c r="AW123">
        <v>1</v>
      </c>
      <c r="AZ123">
        <v>1</v>
      </c>
      <c r="BA123">
        <v>17.46</v>
      </c>
      <c r="BB123">
        <v>8.7799999999999994</v>
      </c>
      <c r="BC123">
        <v>1</v>
      </c>
      <c r="BD123" t="s">
        <v>3</v>
      </c>
      <c r="BE123" t="s">
        <v>3</v>
      </c>
      <c r="BF123" t="s">
        <v>3</v>
      </c>
      <c r="BG123" t="s">
        <v>3</v>
      </c>
      <c r="BH123">
        <v>0</v>
      </c>
      <c r="BI123">
        <v>4</v>
      </c>
      <c r="BJ123" t="s">
        <v>70</v>
      </c>
      <c r="BM123">
        <v>1111</v>
      </c>
      <c r="BN123">
        <v>0</v>
      </c>
      <c r="BO123" t="s">
        <v>68</v>
      </c>
      <c r="BP123">
        <v>1</v>
      </c>
      <c r="BQ123">
        <v>150</v>
      </c>
      <c r="BR123">
        <v>0</v>
      </c>
      <c r="BS123">
        <v>17.46</v>
      </c>
      <c r="BT123">
        <v>1</v>
      </c>
      <c r="BU123">
        <v>1</v>
      </c>
      <c r="BV123">
        <v>1</v>
      </c>
      <c r="BW123">
        <v>1</v>
      </c>
      <c r="BX123">
        <v>1</v>
      </c>
      <c r="BY123" t="s">
        <v>3</v>
      </c>
      <c r="BZ123">
        <v>0</v>
      </c>
      <c r="CA123">
        <v>0</v>
      </c>
      <c r="CF123">
        <v>0</v>
      </c>
      <c r="CG123">
        <v>0</v>
      </c>
      <c r="CM123">
        <v>0</v>
      </c>
      <c r="CN123" t="s">
        <v>3</v>
      </c>
      <c r="CO123">
        <v>0</v>
      </c>
      <c r="CP123">
        <f t="shared" si="116"/>
        <v>16437.48</v>
      </c>
      <c r="CQ123">
        <f t="shared" si="117"/>
        <v>0</v>
      </c>
      <c r="CR123">
        <f t="shared" si="118"/>
        <v>626.18959999999993</v>
      </c>
      <c r="CS123">
        <f t="shared" si="119"/>
        <v>0</v>
      </c>
      <c r="CT123">
        <f t="shared" si="120"/>
        <v>0</v>
      </c>
      <c r="CU123">
        <f t="shared" si="121"/>
        <v>0</v>
      </c>
      <c r="CV123">
        <f t="shared" si="122"/>
        <v>0</v>
      </c>
      <c r="CW123">
        <f t="shared" si="123"/>
        <v>0</v>
      </c>
      <c r="CX123">
        <f t="shared" si="124"/>
        <v>0</v>
      </c>
      <c r="CY123">
        <f t="shared" si="125"/>
        <v>0</v>
      </c>
      <c r="CZ123">
        <f t="shared" si="126"/>
        <v>0</v>
      </c>
      <c r="DC123" t="s">
        <v>3</v>
      </c>
      <c r="DD123" t="s">
        <v>3</v>
      </c>
      <c r="DE123" t="s">
        <v>3</v>
      </c>
      <c r="DF123" t="s">
        <v>3</v>
      </c>
      <c r="DG123" t="s">
        <v>3</v>
      </c>
      <c r="DH123" t="s">
        <v>3</v>
      </c>
      <c r="DI123" t="s">
        <v>3</v>
      </c>
      <c r="DJ123" t="s">
        <v>3</v>
      </c>
      <c r="DK123" t="s">
        <v>3</v>
      </c>
      <c r="DL123" t="s">
        <v>3</v>
      </c>
      <c r="DM123" t="s">
        <v>3</v>
      </c>
      <c r="DN123">
        <v>0</v>
      </c>
      <c r="DO123">
        <v>0</v>
      </c>
      <c r="DP123">
        <v>1</v>
      </c>
      <c r="DQ123">
        <v>1</v>
      </c>
      <c r="DU123">
        <v>1007</v>
      </c>
      <c r="DV123" t="s">
        <v>30</v>
      </c>
      <c r="DW123" t="s">
        <v>30</v>
      </c>
      <c r="DX123">
        <v>1</v>
      </c>
      <c r="EE123">
        <v>33196047</v>
      </c>
      <c r="EF123">
        <v>150</v>
      </c>
      <c r="EG123" t="s">
        <v>71</v>
      </c>
      <c r="EH123">
        <v>0</v>
      </c>
      <c r="EI123" t="s">
        <v>3</v>
      </c>
      <c r="EJ123">
        <v>4</v>
      </c>
      <c r="EK123">
        <v>1111</v>
      </c>
      <c r="EL123" t="s">
        <v>72</v>
      </c>
      <c r="EM123" t="s">
        <v>73</v>
      </c>
      <c r="EO123" t="s">
        <v>3</v>
      </c>
      <c r="EQ123">
        <v>0</v>
      </c>
      <c r="ER123">
        <v>71.319999999999993</v>
      </c>
      <c r="ES123">
        <v>0</v>
      </c>
      <c r="ET123">
        <v>71.319999999999993</v>
      </c>
      <c r="EU123">
        <v>0</v>
      </c>
      <c r="EV123">
        <v>0</v>
      </c>
      <c r="EW123">
        <v>0</v>
      </c>
      <c r="EX123">
        <v>0</v>
      </c>
      <c r="EY123">
        <v>0</v>
      </c>
      <c r="FQ123">
        <v>0</v>
      </c>
      <c r="FR123">
        <f t="shared" si="127"/>
        <v>0</v>
      </c>
      <c r="FS123">
        <v>0</v>
      </c>
      <c r="FX123">
        <v>0</v>
      </c>
      <c r="FY123">
        <v>0</v>
      </c>
      <c r="GA123" t="s">
        <v>3</v>
      </c>
      <c r="GD123">
        <v>0</v>
      </c>
      <c r="GF123">
        <v>-479188797</v>
      </c>
      <c r="GG123">
        <v>2</v>
      </c>
      <c r="GH123">
        <v>1</v>
      </c>
      <c r="GI123">
        <v>2</v>
      </c>
      <c r="GJ123">
        <v>0</v>
      </c>
      <c r="GK123">
        <f>ROUND(R123*(R12)/100,2)</f>
        <v>0</v>
      </c>
      <c r="GL123">
        <f t="shared" si="128"/>
        <v>0</v>
      </c>
      <c r="GM123">
        <f t="shared" si="129"/>
        <v>16437.48</v>
      </c>
      <c r="GN123">
        <f t="shared" si="130"/>
        <v>0</v>
      </c>
      <c r="GO123">
        <f t="shared" si="131"/>
        <v>0</v>
      </c>
      <c r="GP123">
        <f t="shared" si="132"/>
        <v>16437.48</v>
      </c>
      <c r="GR123">
        <v>0</v>
      </c>
      <c r="GT123">
        <v>0</v>
      </c>
      <c r="GU123">
        <v>1</v>
      </c>
      <c r="GV123">
        <v>0</v>
      </c>
      <c r="GW123">
        <v>0</v>
      </c>
    </row>
    <row r="124" spans="1:205" x14ac:dyDescent="0.2">
      <c r="A124">
        <v>17</v>
      </c>
      <c r="B124">
        <v>1</v>
      </c>
      <c r="E124" t="s">
        <v>198</v>
      </c>
      <c r="F124" t="s">
        <v>75</v>
      </c>
      <c r="G124" t="s">
        <v>76</v>
      </c>
      <c r="H124" t="s">
        <v>39</v>
      </c>
      <c r="I124">
        <f>ROUND(I123*1.5,9)</f>
        <v>39.375</v>
      </c>
      <c r="J124">
        <v>0</v>
      </c>
      <c r="O124">
        <f t="shared" si="102"/>
        <v>3561.67</v>
      </c>
      <c r="P124">
        <f t="shared" si="103"/>
        <v>0</v>
      </c>
      <c r="Q124">
        <f t="shared" si="104"/>
        <v>3561.67</v>
      </c>
      <c r="R124">
        <f t="shared" si="105"/>
        <v>0</v>
      </c>
      <c r="S124">
        <f t="shared" si="106"/>
        <v>0</v>
      </c>
      <c r="T124">
        <f t="shared" si="107"/>
        <v>0</v>
      </c>
      <c r="U124">
        <f t="shared" si="108"/>
        <v>0</v>
      </c>
      <c r="V124">
        <f t="shared" si="109"/>
        <v>0</v>
      </c>
      <c r="W124">
        <f t="shared" si="110"/>
        <v>0</v>
      </c>
      <c r="X124">
        <f t="shared" si="111"/>
        <v>0</v>
      </c>
      <c r="Y124">
        <f t="shared" si="112"/>
        <v>0</v>
      </c>
      <c r="AA124">
        <v>90163004</v>
      </c>
      <c r="AB124">
        <f t="shared" si="113"/>
        <v>43.28</v>
      </c>
      <c r="AC124">
        <f t="shared" si="134"/>
        <v>0</v>
      </c>
      <c r="AD124">
        <f t="shared" si="135"/>
        <v>43.28</v>
      </c>
      <c r="AE124">
        <f t="shared" si="135"/>
        <v>0</v>
      </c>
      <c r="AF124">
        <f t="shared" si="135"/>
        <v>0</v>
      </c>
      <c r="AG124">
        <f t="shared" si="114"/>
        <v>0</v>
      </c>
      <c r="AH124">
        <f t="shared" si="136"/>
        <v>0</v>
      </c>
      <c r="AI124">
        <f t="shared" si="136"/>
        <v>0</v>
      </c>
      <c r="AJ124">
        <f t="shared" si="115"/>
        <v>0</v>
      </c>
      <c r="AK124">
        <v>43.28</v>
      </c>
      <c r="AL124">
        <v>0</v>
      </c>
      <c r="AM124">
        <v>43.28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1</v>
      </c>
      <c r="AW124">
        <v>1</v>
      </c>
      <c r="AZ124">
        <v>1</v>
      </c>
      <c r="BA124">
        <v>17.46</v>
      </c>
      <c r="BB124">
        <v>2.09</v>
      </c>
      <c r="BC124">
        <v>1</v>
      </c>
      <c r="BD124" t="s">
        <v>3</v>
      </c>
      <c r="BE124" t="s">
        <v>3</v>
      </c>
      <c r="BF124" t="s">
        <v>3</v>
      </c>
      <c r="BG124" t="s">
        <v>3</v>
      </c>
      <c r="BH124">
        <v>0</v>
      </c>
      <c r="BI124">
        <v>4</v>
      </c>
      <c r="BJ124" t="s">
        <v>77</v>
      </c>
      <c r="BM124">
        <v>1111</v>
      </c>
      <c r="BN124">
        <v>0</v>
      </c>
      <c r="BO124" t="s">
        <v>75</v>
      </c>
      <c r="BP124">
        <v>1</v>
      </c>
      <c r="BQ124">
        <v>150</v>
      </c>
      <c r="BR124">
        <v>0</v>
      </c>
      <c r="BS124">
        <v>17.46</v>
      </c>
      <c r="BT124">
        <v>1</v>
      </c>
      <c r="BU124">
        <v>1</v>
      </c>
      <c r="BV124">
        <v>1</v>
      </c>
      <c r="BW124">
        <v>1</v>
      </c>
      <c r="BX124">
        <v>1</v>
      </c>
      <c r="BY124" t="s">
        <v>3</v>
      </c>
      <c r="BZ124">
        <v>0</v>
      </c>
      <c r="CA124">
        <v>0</v>
      </c>
      <c r="CF124">
        <v>0</v>
      </c>
      <c r="CG124">
        <v>0</v>
      </c>
      <c r="CM124">
        <v>0</v>
      </c>
      <c r="CN124" t="s">
        <v>3</v>
      </c>
      <c r="CO124">
        <v>0</v>
      </c>
      <c r="CP124">
        <f t="shared" si="116"/>
        <v>3561.67</v>
      </c>
      <c r="CQ124">
        <f t="shared" si="117"/>
        <v>0</v>
      </c>
      <c r="CR124">
        <f t="shared" si="118"/>
        <v>90.455199999999991</v>
      </c>
      <c r="CS124">
        <f t="shared" si="119"/>
        <v>0</v>
      </c>
      <c r="CT124">
        <f t="shared" si="120"/>
        <v>0</v>
      </c>
      <c r="CU124">
        <f t="shared" si="121"/>
        <v>0</v>
      </c>
      <c r="CV124">
        <f t="shared" si="122"/>
        <v>0</v>
      </c>
      <c r="CW124">
        <f t="shared" si="123"/>
        <v>0</v>
      </c>
      <c r="CX124">
        <f t="shared" si="124"/>
        <v>0</v>
      </c>
      <c r="CY124">
        <f t="shared" si="125"/>
        <v>0</v>
      </c>
      <c r="CZ124">
        <f t="shared" si="126"/>
        <v>0</v>
      </c>
      <c r="DC124" t="s">
        <v>3</v>
      </c>
      <c r="DD124" t="s">
        <v>3</v>
      </c>
      <c r="DE124" t="s">
        <v>3</v>
      </c>
      <c r="DF124" t="s">
        <v>3</v>
      </c>
      <c r="DG124" t="s">
        <v>3</v>
      </c>
      <c r="DH124" t="s">
        <v>3</v>
      </c>
      <c r="DI124" t="s">
        <v>3</v>
      </c>
      <c r="DJ124" t="s">
        <v>3</v>
      </c>
      <c r="DK124" t="s">
        <v>3</v>
      </c>
      <c r="DL124" t="s">
        <v>3</v>
      </c>
      <c r="DM124" t="s">
        <v>3</v>
      </c>
      <c r="DN124">
        <v>0</v>
      </c>
      <c r="DO124">
        <v>0</v>
      </c>
      <c r="DP124">
        <v>1</v>
      </c>
      <c r="DQ124">
        <v>1</v>
      </c>
      <c r="DU124">
        <v>1009</v>
      </c>
      <c r="DV124" t="s">
        <v>39</v>
      </c>
      <c r="DW124" t="s">
        <v>39</v>
      </c>
      <c r="DX124">
        <v>1000</v>
      </c>
      <c r="EE124">
        <v>33196047</v>
      </c>
      <c r="EF124">
        <v>150</v>
      </c>
      <c r="EG124" t="s">
        <v>71</v>
      </c>
      <c r="EH124">
        <v>0</v>
      </c>
      <c r="EI124" t="s">
        <v>3</v>
      </c>
      <c r="EJ124">
        <v>4</v>
      </c>
      <c r="EK124">
        <v>1111</v>
      </c>
      <c r="EL124" t="s">
        <v>72</v>
      </c>
      <c r="EM124" t="s">
        <v>73</v>
      </c>
      <c r="EO124" t="s">
        <v>3</v>
      </c>
      <c r="EQ124">
        <v>0</v>
      </c>
      <c r="ER124">
        <v>43.28</v>
      </c>
      <c r="ES124">
        <v>0</v>
      </c>
      <c r="ET124">
        <v>43.28</v>
      </c>
      <c r="EU124">
        <v>0</v>
      </c>
      <c r="EV124">
        <v>0</v>
      </c>
      <c r="EW124">
        <v>0</v>
      </c>
      <c r="EX124">
        <v>0</v>
      </c>
      <c r="EY124">
        <v>0</v>
      </c>
      <c r="FQ124">
        <v>0</v>
      </c>
      <c r="FR124">
        <f t="shared" si="127"/>
        <v>0</v>
      </c>
      <c r="FS124">
        <v>0</v>
      </c>
      <c r="FX124">
        <v>0</v>
      </c>
      <c r="FY124">
        <v>0</v>
      </c>
      <c r="GA124" t="s">
        <v>3</v>
      </c>
      <c r="GD124">
        <v>0</v>
      </c>
      <c r="GF124">
        <v>1695613196</v>
      </c>
      <c r="GG124">
        <v>2</v>
      </c>
      <c r="GH124">
        <v>1</v>
      </c>
      <c r="GI124">
        <v>2</v>
      </c>
      <c r="GJ124">
        <v>0</v>
      </c>
      <c r="GK124">
        <f>ROUND(R124*(R12)/100,2)</f>
        <v>0</v>
      </c>
      <c r="GL124">
        <f t="shared" si="128"/>
        <v>0</v>
      </c>
      <c r="GM124">
        <f t="shared" si="129"/>
        <v>3561.67</v>
      </c>
      <c r="GN124">
        <f t="shared" si="130"/>
        <v>0</v>
      </c>
      <c r="GO124">
        <f t="shared" si="131"/>
        <v>0</v>
      </c>
      <c r="GP124">
        <f t="shared" si="132"/>
        <v>3561.67</v>
      </c>
      <c r="GR124">
        <v>0</v>
      </c>
      <c r="GT124">
        <v>0</v>
      </c>
      <c r="GU124">
        <v>1</v>
      </c>
      <c r="GV124">
        <v>0</v>
      </c>
      <c r="GW124">
        <v>0</v>
      </c>
    </row>
    <row r="125" spans="1:205" x14ac:dyDescent="0.2">
      <c r="A125">
        <v>17</v>
      </c>
      <c r="B125">
        <v>1</v>
      </c>
      <c r="E125" t="s">
        <v>199</v>
      </c>
      <c r="F125" t="s">
        <v>79</v>
      </c>
      <c r="G125" t="s">
        <v>80</v>
      </c>
      <c r="H125" t="s">
        <v>39</v>
      </c>
      <c r="I125">
        <f>0.093+I115</f>
        <v>22.687000000000001</v>
      </c>
      <c r="J125">
        <v>0</v>
      </c>
      <c r="O125">
        <f t="shared" si="102"/>
        <v>10082.07</v>
      </c>
      <c r="P125">
        <f t="shared" si="103"/>
        <v>0</v>
      </c>
      <c r="Q125">
        <f t="shared" si="104"/>
        <v>10082.07</v>
      </c>
      <c r="R125">
        <f t="shared" si="105"/>
        <v>0</v>
      </c>
      <c r="S125">
        <f t="shared" si="106"/>
        <v>0</v>
      </c>
      <c r="T125">
        <f t="shared" si="107"/>
        <v>0</v>
      </c>
      <c r="U125">
        <f t="shared" si="108"/>
        <v>0</v>
      </c>
      <c r="V125">
        <f t="shared" si="109"/>
        <v>0</v>
      </c>
      <c r="W125">
        <f t="shared" si="110"/>
        <v>0</v>
      </c>
      <c r="X125">
        <f t="shared" si="111"/>
        <v>0</v>
      </c>
      <c r="Y125">
        <f t="shared" si="112"/>
        <v>0</v>
      </c>
      <c r="AA125">
        <v>90163004</v>
      </c>
      <c r="AB125">
        <f t="shared" si="113"/>
        <v>58.32</v>
      </c>
      <c r="AC125">
        <f t="shared" si="134"/>
        <v>0</v>
      </c>
      <c r="AD125">
        <f t="shared" si="135"/>
        <v>58.32</v>
      </c>
      <c r="AE125">
        <f t="shared" si="135"/>
        <v>0</v>
      </c>
      <c r="AF125">
        <f t="shared" si="135"/>
        <v>0</v>
      </c>
      <c r="AG125">
        <f t="shared" si="114"/>
        <v>0</v>
      </c>
      <c r="AH125">
        <f t="shared" si="136"/>
        <v>0</v>
      </c>
      <c r="AI125">
        <f t="shared" si="136"/>
        <v>0</v>
      </c>
      <c r="AJ125">
        <f t="shared" si="115"/>
        <v>0</v>
      </c>
      <c r="AK125">
        <v>58.32</v>
      </c>
      <c r="AL125">
        <v>0</v>
      </c>
      <c r="AM125">
        <v>58.32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1</v>
      </c>
      <c r="AW125">
        <v>1</v>
      </c>
      <c r="AZ125">
        <v>1</v>
      </c>
      <c r="BA125">
        <v>17.46</v>
      </c>
      <c r="BB125">
        <v>7.62</v>
      </c>
      <c r="BC125">
        <v>1</v>
      </c>
      <c r="BD125" t="s">
        <v>3</v>
      </c>
      <c r="BE125" t="s">
        <v>3</v>
      </c>
      <c r="BF125" t="s">
        <v>3</v>
      </c>
      <c r="BG125" t="s">
        <v>3</v>
      </c>
      <c r="BH125">
        <v>0</v>
      </c>
      <c r="BI125">
        <v>4</v>
      </c>
      <c r="BJ125" t="s">
        <v>81</v>
      </c>
      <c r="BM125">
        <v>1113</v>
      </c>
      <c r="BN125">
        <v>0</v>
      </c>
      <c r="BO125" t="s">
        <v>79</v>
      </c>
      <c r="BP125">
        <v>1</v>
      </c>
      <c r="BQ125">
        <v>150</v>
      </c>
      <c r="BR125">
        <v>0</v>
      </c>
      <c r="BS125">
        <v>17.46</v>
      </c>
      <c r="BT125">
        <v>1</v>
      </c>
      <c r="BU125">
        <v>1</v>
      </c>
      <c r="BV125">
        <v>1</v>
      </c>
      <c r="BW125">
        <v>1</v>
      </c>
      <c r="BX125">
        <v>1</v>
      </c>
      <c r="BY125" t="s">
        <v>3</v>
      </c>
      <c r="BZ125">
        <v>0</v>
      </c>
      <c r="CA125">
        <v>0</v>
      </c>
      <c r="CF125">
        <v>0</v>
      </c>
      <c r="CG125">
        <v>0</v>
      </c>
      <c r="CM125">
        <v>0</v>
      </c>
      <c r="CN125" t="s">
        <v>3</v>
      </c>
      <c r="CO125">
        <v>0</v>
      </c>
      <c r="CP125">
        <f t="shared" si="116"/>
        <v>10082.07</v>
      </c>
      <c r="CQ125">
        <f t="shared" si="117"/>
        <v>0</v>
      </c>
      <c r="CR125">
        <f t="shared" si="118"/>
        <v>444.39839999999998</v>
      </c>
      <c r="CS125">
        <f t="shared" si="119"/>
        <v>0</v>
      </c>
      <c r="CT125">
        <f t="shared" si="120"/>
        <v>0</v>
      </c>
      <c r="CU125">
        <f t="shared" si="121"/>
        <v>0</v>
      </c>
      <c r="CV125">
        <f t="shared" si="122"/>
        <v>0</v>
      </c>
      <c r="CW125">
        <f t="shared" si="123"/>
        <v>0</v>
      </c>
      <c r="CX125">
        <f t="shared" si="124"/>
        <v>0</v>
      </c>
      <c r="CY125">
        <f t="shared" si="125"/>
        <v>0</v>
      </c>
      <c r="CZ125">
        <f t="shared" si="126"/>
        <v>0</v>
      </c>
      <c r="DC125" t="s">
        <v>3</v>
      </c>
      <c r="DD125" t="s">
        <v>3</v>
      </c>
      <c r="DE125" t="s">
        <v>3</v>
      </c>
      <c r="DF125" t="s">
        <v>3</v>
      </c>
      <c r="DG125" t="s">
        <v>3</v>
      </c>
      <c r="DH125" t="s">
        <v>3</v>
      </c>
      <c r="DI125" t="s">
        <v>3</v>
      </c>
      <c r="DJ125" t="s">
        <v>3</v>
      </c>
      <c r="DK125" t="s">
        <v>3</v>
      </c>
      <c r="DL125" t="s">
        <v>3</v>
      </c>
      <c r="DM125" t="s">
        <v>3</v>
      </c>
      <c r="DN125">
        <v>0</v>
      </c>
      <c r="DO125">
        <v>0</v>
      </c>
      <c r="DP125">
        <v>1</v>
      </c>
      <c r="DQ125">
        <v>1</v>
      </c>
      <c r="DU125">
        <v>1009</v>
      </c>
      <c r="DV125" t="s">
        <v>39</v>
      </c>
      <c r="DW125" t="s">
        <v>39</v>
      </c>
      <c r="DX125">
        <v>1000</v>
      </c>
      <c r="EE125">
        <v>33196053</v>
      </c>
      <c r="EF125">
        <v>150</v>
      </c>
      <c r="EG125" t="s">
        <v>71</v>
      </c>
      <c r="EH125">
        <v>0</v>
      </c>
      <c r="EI125" t="s">
        <v>3</v>
      </c>
      <c r="EJ125">
        <v>4</v>
      </c>
      <c r="EK125">
        <v>1113</v>
      </c>
      <c r="EL125" t="s">
        <v>82</v>
      </c>
      <c r="EM125" t="s">
        <v>83</v>
      </c>
      <c r="EO125" t="s">
        <v>3</v>
      </c>
      <c r="EQ125">
        <v>0</v>
      </c>
      <c r="ER125">
        <v>58.32</v>
      </c>
      <c r="ES125">
        <v>0</v>
      </c>
      <c r="ET125">
        <v>58.32</v>
      </c>
      <c r="EU125">
        <v>0</v>
      </c>
      <c r="EV125">
        <v>0</v>
      </c>
      <c r="EW125">
        <v>0</v>
      </c>
      <c r="EX125">
        <v>0</v>
      </c>
      <c r="EY125">
        <v>0</v>
      </c>
      <c r="FQ125">
        <v>0</v>
      </c>
      <c r="FR125">
        <f t="shared" si="127"/>
        <v>0</v>
      </c>
      <c r="FS125">
        <v>0</v>
      </c>
      <c r="FX125">
        <v>0</v>
      </c>
      <c r="FY125">
        <v>0</v>
      </c>
      <c r="GA125" t="s">
        <v>3</v>
      </c>
      <c r="GD125">
        <v>0</v>
      </c>
      <c r="GF125">
        <v>1267817562</v>
      </c>
      <c r="GG125">
        <v>2</v>
      </c>
      <c r="GH125">
        <v>1</v>
      </c>
      <c r="GI125">
        <v>2</v>
      </c>
      <c r="GJ125">
        <v>0</v>
      </c>
      <c r="GK125">
        <f>ROUND(R125*(R12)/100,2)</f>
        <v>0</v>
      </c>
      <c r="GL125">
        <f t="shared" si="128"/>
        <v>0</v>
      </c>
      <c r="GM125">
        <f t="shared" si="129"/>
        <v>10082.07</v>
      </c>
      <c r="GN125">
        <f t="shared" si="130"/>
        <v>0</v>
      </c>
      <c r="GO125">
        <f t="shared" si="131"/>
        <v>0</v>
      </c>
      <c r="GP125">
        <f t="shared" si="132"/>
        <v>10082.07</v>
      </c>
      <c r="GR125">
        <v>0</v>
      </c>
      <c r="GT125">
        <v>0</v>
      </c>
      <c r="GU125">
        <v>1</v>
      </c>
      <c r="GV125">
        <v>0</v>
      </c>
      <c r="GW125">
        <v>0</v>
      </c>
    </row>
    <row r="126" spans="1:205" x14ac:dyDescent="0.2">
      <c r="A126">
        <v>17</v>
      </c>
      <c r="B126">
        <v>1</v>
      </c>
      <c r="E126" t="s">
        <v>200</v>
      </c>
      <c r="F126" t="s">
        <v>85</v>
      </c>
      <c r="G126" t="s">
        <v>86</v>
      </c>
      <c r="H126" t="s">
        <v>39</v>
      </c>
      <c r="I126">
        <f>ROUND(I125,9)</f>
        <v>22.687000000000001</v>
      </c>
      <c r="J126">
        <v>0</v>
      </c>
      <c r="O126">
        <f t="shared" si="102"/>
        <v>4605.6899999999996</v>
      </c>
      <c r="P126">
        <f t="shared" si="103"/>
        <v>0</v>
      </c>
      <c r="Q126">
        <f t="shared" si="104"/>
        <v>4605.6899999999996</v>
      </c>
      <c r="R126">
        <f t="shared" si="105"/>
        <v>0</v>
      </c>
      <c r="S126">
        <f t="shared" si="106"/>
        <v>0</v>
      </c>
      <c r="T126">
        <f t="shared" si="107"/>
        <v>0</v>
      </c>
      <c r="U126">
        <f t="shared" si="108"/>
        <v>0</v>
      </c>
      <c r="V126">
        <f t="shared" si="109"/>
        <v>0</v>
      </c>
      <c r="W126">
        <f t="shared" si="110"/>
        <v>0</v>
      </c>
      <c r="X126">
        <f t="shared" si="111"/>
        <v>0</v>
      </c>
      <c r="Y126">
        <f t="shared" si="112"/>
        <v>0</v>
      </c>
      <c r="AA126">
        <v>90163004</v>
      </c>
      <c r="AB126">
        <f t="shared" si="113"/>
        <v>101</v>
      </c>
      <c r="AC126">
        <f t="shared" si="134"/>
        <v>0</v>
      </c>
      <c r="AD126">
        <f t="shared" si="135"/>
        <v>101</v>
      </c>
      <c r="AE126">
        <f t="shared" si="135"/>
        <v>0</v>
      </c>
      <c r="AF126">
        <f t="shared" si="135"/>
        <v>0</v>
      </c>
      <c r="AG126">
        <f t="shared" si="114"/>
        <v>0</v>
      </c>
      <c r="AH126">
        <f t="shared" si="136"/>
        <v>0</v>
      </c>
      <c r="AI126">
        <f t="shared" si="136"/>
        <v>0</v>
      </c>
      <c r="AJ126">
        <f t="shared" si="115"/>
        <v>0</v>
      </c>
      <c r="AK126">
        <v>101</v>
      </c>
      <c r="AL126">
        <v>0</v>
      </c>
      <c r="AM126">
        <v>101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1</v>
      </c>
      <c r="AW126">
        <v>1</v>
      </c>
      <c r="AZ126">
        <v>1</v>
      </c>
      <c r="BA126">
        <v>17.46</v>
      </c>
      <c r="BB126">
        <v>2.0099999999999998</v>
      </c>
      <c r="BC126">
        <v>1</v>
      </c>
      <c r="BD126" t="s">
        <v>3</v>
      </c>
      <c r="BE126" t="s">
        <v>3</v>
      </c>
      <c r="BF126" t="s">
        <v>3</v>
      </c>
      <c r="BG126" t="s">
        <v>3</v>
      </c>
      <c r="BH126">
        <v>0</v>
      </c>
      <c r="BI126">
        <v>4</v>
      </c>
      <c r="BJ126" t="s">
        <v>87</v>
      </c>
      <c r="BM126">
        <v>1110</v>
      </c>
      <c r="BN126">
        <v>0</v>
      </c>
      <c r="BO126" t="s">
        <v>85</v>
      </c>
      <c r="BP126">
        <v>1</v>
      </c>
      <c r="BQ126">
        <v>150</v>
      </c>
      <c r="BR126">
        <v>0</v>
      </c>
      <c r="BS126">
        <v>17.46</v>
      </c>
      <c r="BT126">
        <v>1</v>
      </c>
      <c r="BU126">
        <v>1</v>
      </c>
      <c r="BV126">
        <v>1</v>
      </c>
      <c r="BW126">
        <v>1</v>
      </c>
      <c r="BX126">
        <v>1</v>
      </c>
      <c r="BY126" t="s">
        <v>3</v>
      </c>
      <c r="BZ126">
        <v>0</v>
      </c>
      <c r="CA126">
        <v>0</v>
      </c>
      <c r="CF126">
        <v>0</v>
      </c>
      <c r="CG126">
        <v>0</v>
      </c>
      <c r="CM126">
        <v>0</v>
      </c>
      <c r="CN126" t="s">
        <v>3</v>
      </c>
      <c r="CO126">
        <v>0</v>
      </c>
      <c r="CP126">
        <f t="shared" si="116"/>
        <v>4605.6899999999996</v>
      </c>
      <c r="CQ126">
        <f t="shared" si="117"/>
        <v>0</v>
      </c>
      <c r="CR126">
        <f t="shared" si="118"/>
        <v>203.01</v>
      </c>
      <c r="CS126">
        <f t="shared" si="119"/>
        <v>0</v>
      </c>
      <c r="CT126">
        <f t="shared" si="120"/>
        <v>0</v>
      </c>
      <c r="CU126">
        <f t="shared" si="121"/>
        <v>0</v>
      </c>
      <c r="CV126">
        <f t="shared" si="122"/>
        <v>0</v>
      </c>
      <c r="CW126">
        <f t="shared" si="123"/>
        <v>0</v>
      </c>
      <c r="CX126">
        <f t="shared" si="124"/>
        <v>0</v>
      </c>
      <c r="CY126">
        <f t="shared" si="125"/>
        <v>0</v>
      </c>
      <c r="CZ126">
        <f t="shared" si="126"/>
        <v>0</v>
      </c>
      <c r="DC126" t="s">
        <v>3</v>
      </c>
      <c r="DD126" t="s">
        <v>3</v>
      </c>
      <c r="DE126" t="s">
        <v>3</v>
      </c>
      <c r="DF126" t="s">
        <v>3</v>
      </c>
      <c r="DG126" t="s">
        <v>3</v>
      </c>
      <c r="DH126" t="s">
        <v>3</v>
      </c>
      <c r="DI126" t="s">
        <v>3</v>
      </c>
      <c r="DJ126" t="s">
        <v>3</v>
      </c>
      <c r="DK126" t="s">
        <v>3</v>
      </c>
      <c r="DL126" t="s">
        <v>3</v>
      </c>
      <c r="DM126" t="s">
        <v>3</v>
      </c>
      <c r="DN126">
        <v>0</v>
      </c>
      <c r="DO126">
        <v>0</v>
      </c>
      <c r="DP126">
        <v>1</v>
      </c>
      <c r="DQ126">
        <v>1</v>
      </c>
      <c r="DU126">
        <v>1009</v>
      </c>
      <c r="DV126" t="s">
        <v>39</v>
      </c>
      <c r="DW126" t="s">
        <v>39</v>
      </c>
      <c r="DX126">
        <v>1000</v>
      </c>
      <c r="EE126">
        <v>33196043</v>
      </c>
      <c r="EF126">
        <v>150</v>
      </c>
      <c r="EG126" t="s">
        <v>71</v>
      </c>
      <c r="EH126">
        <v>0</v>
      </c>
      <c r="EI126" t="s">
        <v>3</v>
      </c>
      <c r="EJ126">
        <v>4</v>
      </c>
      <c r="EK126">
        <v>1110</v>
      </c>
      <c r="EL126" t="s">
        <v>88</v>
      </c>
      <c r="EM126" t="s">
        <v>89</v>
      </c>
      <c r="EO126" t="s">
        <v>3</v>
      </c>
      <c r="EQ126">
        <v>0</v>
      </c>
      <c r="ER126">
        <v>101</v>
      </c>
      <c r="ES126">
        <v>0</v>
      </c>
      <c r="ET126">
        <v>101</v>
      </c>
      <c r="EU126">
        <v>0</v>
      </c>
      <c r="EV126">
        <v>0</v>
      </c>
      <c r="EW126">
        <v>0</v>
      </c>
      <c r="EX126">
        <v>0</v>
      </c>
      <c r="EY126">
        <v>0</v>
      </c>
      <c r="FQ126">
        <v>0</v>
      </c>
      <c r="FR126">
        <f t="shared" si="127"/>
        <v>0</v>
      </c>
      <c r="FS126">
        <v>0</v>
      </c>
      <c r="FX126">
        <v>0</v>
      </c>
      <c r="FY126">
        <v>0</v>
      </c>
      <c r="GA126" t="s">
        <v>3</v>
      </c>
      <c r="GD126">
        <v>0</v>
      </c>
      <c r="GF126">
        <v>684198422</v>
      </c>
      <c r="GG126">
        <v>2</v>
      </c>
      <c r="GH126">
        <v>1</v>
      </c>
      <c r="GI126">
        <v>2</v>
      </c>
      <c r="GJ126">
        <v>0</v>
      </c>
      <c r="GK126">
        <f>ROUND(R126*(R12)/100,2)</f>
        <v>0</v>
      </c>
      <c r="GL126">
        <f t="shared" si="128"/>
        <v>0</v>
      </c>
      <c r="GM126">
        <f t="shared" si="129"/>
        <v>4605.6899999999996</v>
      </c>
      <c r="GN126">
        <f t="shared" si="130"/>
        <v>0</v>
      </c>
      <c r="GO126">
        <f t="shared" si="131"/>
        <v>0</v>
      </c>
      <c r="GP126">
        <f t="shared" si="132"/>
        <v>4605.6899999999996</v>
      </c>
      <c r="GR126">
        <v>0</v>
      </c>
      <c r="GT126">
        <v>0</v>
      </c>
      <c r="GU126">
        <v>1</v>
      </c>
      <c r="GV126">
        <v>0</v>
      </c>
      <c r="GW126">
        <v>0</v>
      </c>
    </row>
    <row r="128" spans="1:205" x14ac:dyDescent="0.2">
      <c r="A128" s="2">
        <v>51</v>
      </c>
      <c r="B128" s="2">
        <f>B110</f>
        <v>1</v>
      </c>
      <c r="C128" s="2">
        <f>A110</f>
        <v>4</v>
      </c>
      <c r="D128" s="2">
        <f>ROW(A110)</f>
        <v>110</v>
      </c>
      <c r="E128" s="2"/>
      <c r="F128" s="2" t="str">
        <f>IF(F110&lt;&gt;"",F110,"")</f>
        <v>Новый раздел</v>
      </c>
      <c r="G128" s="2" t="str">
        <f>IF(G110&lt;&gt;"",G110,"")</f>
        <v>Тепловая камера (реконструкция) 5,2х4,6х2,5</v>
      </c>
      <c r="H128" s="2"/>
      <c r="I128" s="2"/>
      <c r="J128" s="2"/>
      <c r="K128" s="2"/>
      <c r="L128" s="2"/>
      <c r="M128" s="2"/>
      <c r="N128" s="2"/>
      <c r="O128" s="2">
        <f t="shared" ref="O128:T128" si="137">ROUND(AB128,2)</f>
        <v>555414.22</v>
      </c>
      <c r="P128" s="2">
        <f t="shared" si="137"/>
        <v>228781.52</v>
      </c>
      <c r="Q128" s="2">
        <f t="shared" si="137"/>
        <v>114856.92</v>
      </c>
      <c r="R128" s="2">
        <f t="shared" si="137"/>
        <v>1605.04</v>
      </c>
      <c r="S128" s="2">
        <f t="shared" si="137"/>
        <v>211775.78</v>
      </c>
      <c r="T128" s="2">
        <f t="shared" si="137"/>
        <v>0</v>
      </c>
      <c r="U128" s="2">
        <f>AH128</f>
        <v>75.174420385152004</v>
      </c>
      <c r="V128" s="2">
        <f>AI128</f>
        <v>0</v>
      </c>
      <c r="W128" s="2">
        <f>ROUND(AJ128,2)</f>
        <v>41.81</v>
      </c>
      <c r="X128" s="2">
        <f>ROUND(AK128,2)</f>
        <v>20640.7</v>
      </c>
      <c r="Y128" s="2">
        <f>ROUND(AL128,2)</f>
        <v>9461.1299999999992</v>
      </c>
      <c r="Z128" s="2"/>
      <c r="AA128" s="2"/>
      <c r="AB128" s="2">
        <f>ROUND(SUMIF(AA114:AA126,"=90163004",O114:O126),2)</f>
        <v>555414.22</v>
      </c>
      <c r="AC128" s="2">
        <f>ROUND(SUMIF(AA114:AA126,"=90163004",P114:P126),2)</f>
        <v>228781.52</v>
      </c>
      <c r="AD128" s="2">
        <f>ROUND(SUMIF(AA114:AA126,"=90163004",Q114:Q126),2)</f>
        <v>114856.92</v>
      </c>
      <c r="AE128" s="2">
        <f>ROUND(SUMIF(AA114:AA126,"=90163004",R114:R126),2)</f>
        <v>1605.04</v>
      </c>
      <c r="AF128" s="2">
        <f>ROUND(SUMIF(AA114:AA126,"=90163004",S114:S126),2)</f>
        <v>211775.78</v>
      </c>
      <c r="AG128" s="2">
        <f>ROUND(SUMIF(AA114:AA126,"=90163004",T114:T126),2)</f>
        <v>0</v>
      </c>
      <c r="AH128" s="2">
        <f>SUMIF(AA114:AA126,"=90163004",U114:U126)</f>
        <v>75.174420385152004</v>
      </c>
      <c r="AI128" s="2">
        <f>SUMIF(AA114:AA126,"=90163004",V114:V126)</f>
        <v>0</v>
      </c>
      <c r="AJ128" s="2">
        <f>ROUND(SUMIF(AA114:AA126,"=90163004",W114:W126),2)</f>
        <v>41.81</v>
      </c>
      <c r="AK128" s="2">
        <f>ROUND(SUMIF(AA114:AA126,"=90163004",X114:X126),2)</f>
        <v>20640.7</v>
      </c>
      <c r="AL128" s="2">
        <f>ROUND(SUMIF(AA114:AA126,"=90163004",Y114:Y126),2)</f>
        <v>9461.1299999999992</v>
      </c>
      <c r="AM128" s="2"/>
      <c r="AN128" s="2"/>
      <c r="AO128" s="2">
        <f t="shared" ref="AO128:AZ128" si="138">ROUND(BB128,2)</f>
        <v>0</v>
      </c>
      <c r="AP128" s="2">
        <f t="shared" si="138"/>
        <v>0</v>
      </c>
      <c r="AQ128" s="2">
        <f t="shared" si="138"/>
        <v>0</v>
      </c>
      <c r="AR128" s="2">
        <f t="shared" si="138"/>
        <v>588196.46</v>
      </c>
      <c r="AS128" s="2">
        <f t="shared" si="138"/>
        <v>553509.55000000005</v>
      </c>
      <c r="AT128" s="2">
        <f t="shared" si="138"/>
        <v>0</v>
      </c>
      <c r="AU128" s="2">
        <f t="shared" si="138"/>
        <v>34686.910000000003</v>
      </c>
      <c r="AV128" s="2">
        <f t="shared" si="138"/>
        <v>228781.52</v>
      </c>
      <c r="AW128" s="2">
        <f t="shared" si="138"/>
        <v>228781.52</v>
      </c>
      <c r="AX128" s="2">
        <f t="shared" si="138"/>
        <v>0</v>
      </c>
      <c r="AY128" s="2">
        <f t="shared" si="138"/>
        <v>228781.52</v>
      </c>
      <c r="AZ128" s="2">
        <f t="shared" si="138"/>
        <v>0</v>
      </c>
      <c r="BA128" s="2"/>
      <c r="BB128" s="2">
        <f>ROUND(SUMIF(AA114:AA126,"=90163004",FQ114:FQ126),2)</f>
        <v>0</v>
      </c>
      <c r="BC128" s="2">
        <f>ROUND(SUMIF(AA114:AA126,"=90163004",FR114:FR126),2)</f>
        <v>0</v>
      </c>
      <c r="BD128" s="2">
        <f>ROUND(SUMIF(AA114:AA126,"=90163004",GL114:GL126),2)</f>
        <v>0</v>
      </c>
      <c r="BE128" s="2">
        <f>ROUND(SUMIF(AA114:AA126,"=90163004",GM114:GM126),2)</f>
        <v>588196.46</v>
      </c>
      <c r="BF128" s="2">
        <f>ROUND(SUMIF(AA114:AA126,"=90163004",GN114:GN126),2)</f>
        <v>553509.55000000005</v>
      </c>
      <c r="BG128" s="2">
        <f>ROUND(SUMIF(AA114:AA126,"=90163004",GO114:GO126),2)</f>
        <v>0</v>
      </c>
      <c r="BH128" s="2">
        <f>ROUND(SUMIF(AA114:AA126,"=90163004",GP114:GP126),2)</f>
        <v>34686.910000000003</v>
      </c>
      <c r="BI128" s="2">
        <f>AC128-BB128</f>
        <v>228781.52</v>
      </c>
      <c r="BJ128" s="2">
        <f>AC128-BC128</f>
        <v>228781.52</v>
      </c>
      <c r="BK128" s="2">
        <f>BB128-BD128</f>
        <v>0</v>
      </c>
      <c r="BL128" s="2">
        <f>AC128-BB128-BC128+BD128</f>
        <v>228781.52</v>
      </c>
      <c r="BM128" s="2">
        <f>BC128-BD128</f>
        <v>0</v>
      </c>
      <c r="BN128" s="2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>
        <v>0</v>
      </c>
    </row>
    <row r="130" spans="1:16" x14ac:dyDescent="0.2">
      <c r="A130" s="4">
        <v>50</v>
      </c>
      <c r="B130" s="4">
        <v>0</v>
      </c>
      <c r="C130" s="4">
        <v>0</v>
      </c>
      <c r="D130" s="4">
        <v>1</v>
      </c>
      <c r="E130" s="4">
        <v>201</v>
      </c>
      <c r="F130" s="4">
        <f>ROUND(Source!O128,O130)</f>
        <v>555414.22</v>
      </c>
      <c r="G130" s="4" t="s">
        <v>90</v>
      </c>
      <c r="H130" s="4" t="s">
        <v>91</v>
      </c>
      <c r="I130" s="4"/>
      <c r="J130" s="4"/>
      <c r="K130" s="4">
        <v>201</v>
      </c>
      <c r="L130" s="4">
        <v>1</v>
      </c>
      <c r="M130" s="4">
        <v>3</v>
      </c>
      <c r="N130" s="4" t="s">
        <v>3</v>
      </c>
      <c r="O130" s="4">
        <v>2</v>
      </c>
      <c r="P130" s="4"/>
    </row>
    <row r="131" spans="1:16" x14ac:dyDescent="0.2">
      <c r="A131" s="4">
        <v>50</v>
      </c>
      <c r="B131" s="4">
        <v>0</v>
      </c>
      <c r="C131" s="4">
        <v>0</v>
      </c>
      <c r="D131" s="4">
        <v>1</v>
      </c>
      <c r="E131" s="4">
        <v>202</v>
      </c>
      <c r="F131" s="4">
        <f>ROUND(Source!P128,O131)</f>
        <v>228781.52</v>
      </c>
      <c r="G131" s="4" t="s">
        <v>92</v>
      </c>
      <c r="H131" s="4" t="s">
        <v>93</v>
      </c>
      <c r="I131" s="4"/>
      <c r="J131" s="4"/>
      <c r="K131" s="4">
        <v>202</v>
      </c>
      <c r="L131" s="4">
        <v>2</v>
      </c>
      <c r="M131" s="4">
        <v>3</v>
      </c>
      <c r="N131" s="4" t="s">
        <v>3</v>
      </c>
      <c r="O131" s="4">
        <v>2</v>
      </c>
      <c r="P131" s="4"/>
    </row>
    <row r="132" spans="1:16" x14ac:dyDescent="0.2">
      <c r="A132" s="4">
        <v>50</v>
      </c>
      <c r="B132" s="4">
        <v>0</v>
      </c>
      <c r="C132" s="4">
        <v>0</v>
      </c>
      <c r="D132" s="4">
        <v>1</v>
      </c>
      <c r="E132" s="4">
        <v>222</v>
      </c>
      <c r="F132" s="4">
        <f>ROUND(Source!AO128,O132)</f>
        <v>0</v>
      </c>
      <c r="G132" s="4" t="s">
        <v>94</v>
      </c>
      <c r="H132" s="4" t="s">
        <v>95</v>
      </c>
      <c r="I132" s="4"/>
      <c r="J132" s="4"/>
      <c r="K132" s="4">
        <v>222</v>
      </c>
      <c r="L132" s="4">
        <v>3</v>
      </c>
      <c r="M132" s="4">
        <v>3</v>
      </c>
      <c r="N132" s="4" t="s">
        <v>3</v>
      </c>
      <c r="O132" s="4">
        <v>2</v>
      </c>
      <c r="P132" s="4"/>
    </row>
    <row r="133" spans="1:16" x14ac:dyDescent="0.2">
      <c r="A133" s="4">
        <v>50</v>
      </c>
      <c r="B133" s="4">
        <v>0</v>
      </c>
      <c r="C133" s="4">
        <v>0</v>
      </c>
      <c r="D133" s="4">
        <v>1</v>
      </c>
      <c r="E133" s="4">
        <v>225</v>
      </c>
      <c r="F133" s="4">
        <f>ROUND(Source!AV128,O133)</f>
        <v>228781.52</v>
      </c>
      <c r="G133" s="4" t="s">
        <v>96</v>
      </c>
      <c r="H133" s="4" t="s">
        <v>97</v>
      </c>
      <c r="I133" s="4"/>
      <c r="J133" s="4"/>
      <c r="K133" s="4">
        <v>225</v>
      </c>
      <c r="L133" s="4">
        <v>4</v>
      </c>
      <c r="M133" s="4">
        <v>3</v>
      </c>
      <c r="N133" s="4" t="s">
        <v>3</v>
      </c>
      <c r="O133" s="4">
        <v>2</v>
      </c>
      <c r="P133" s="4"/>
    </row>
    <row r="134" spans="1:16" x14ac:dyDescent="0.2">
      <c r="A134" s="4">
        <v>50</v>
      </c>
      <c r="B134" s="4">
        <v>0</v>
      </c>
      <c r="C134" s="4">
        <v>0</v>
      </c>
      <c r="D134" s="4">
        <v>1</v>
      </c>
      <c r="E134" s="4">
        <v>226</v>
      </c>
      <c r="F134" s="4">
        <f>ROUND(Source!AW128,O134)</f>
        <v>228781.52</v>
      </c>
      <c r="G134" s="4" t="s">
        <v>98</v>
      </c>
      <c r="H134" s="4" t="s">
        <v>99</v>
      </c>
      <c r="I134" s="4"/>
      <c r="J134" s="4"/>
      <c r="K134" s="4">
        <v>226</v>
      </c>
      <c r="L134" s="4">
        <v>5</v>
      </c>
      <c r="M134" s="4">
        <v>3</v>
      </c>
      <c r="N134" s="4" t="s">
        <v>3</v>
      </c>
      <c r="O134" s="4">
        <v>2</v>
      </c>
      <c r="P134" s="4"/>
    </row>
    <row r="135" spans="1:16" x14ac:dyDescent="0.2">
      <c r="A135" s="4">
        <v>50</v>
      </c>
      <c r="B135" s="4">
        <v>0</v>
      </c>
      <c r="C135" s="4">
        <v>0</v>
      </c>
      <c r="D135" s="4">
        <v>1</v>
      </c>
      <c r="E135" s="4">
        <v>227</v>
      </c>
      <c r="F135" s="4">
        <f>ROUND(Source!AX128,O135)</f>
        <v>0</v>
      </c>
      <c r="G135" s="4" t="s">
        <v>100</v>
      </c>
      <c r="H135" s="4" t="s">
        <v>101</v>
      </c>
      <c r="I135" s="4"/>
      <c r="J135" s="4"/>
      <c r="K135" s="4">
        <v>227</v>
      </c>
      <c r="L135" s="4">
        <v>6</v>
      </c>
      <c r="M135" s="4">
        <v>3</v>
      </c>
      <c r="N135" s="4" t="s">
        <v>3</v>
      </c>
      <c r="O135" s="4">
        <v>2</v>
      </c>
      <c r="P135" s="4"/>
    </row>
    <row r="136" spans="1:16" x14ac:dyDescent="0.2">
      <c r="A136" s="4">
        <v>50</v>
      </c>
      <c r="B136" s="4">
        <v>0</v>
      </c>
      <c r="C136" s="4">
        <v>0</v>
      </c>
      <c r="D136" s="4">
        <v>1</v>
      </c>
      <c r="E136" s="4">
        <v>228</v>
      </c>
      <c r="F136" s="4">
        <f>ROUND(Source!AY128,O136)</f>
        <v>228781.52</v>
      </c>
      <c r="G136" s="4" t="s">
        <v>102</v>
      </c>
      <c r="H136" s="4" t="s">
        <v>103</v>
      </c>
      <c r="I136" s="4"/>
      <c r="J136" s="4"/>
      <c r="K136" s="4">
        <v>228</v>
      </c>
      <c r="L136" s="4">
        <v>7</v>
      </c>
      <c r="M136" s="4">
        <v>3</v>
      </c>
      <c r="N136" s="4" t="s">
        <v>3</v>
      </c>
      <c r="O136" s="4">
        <v>2</v>
      </c>
      <c r="P136" s="4"/>
    </row>
    <row r="137" spans="1:16" x14ac:dyDescent="0.2">
      <c r="A137" s="4">
        <v>50</v>
      </c>
      <c r="B137" s="4">
        <v>0</v>
      </c>
      <c r="C137" s="4">
        <v>0</v>
      </c>
      <c r="D137" s="4">
        <v>1</v>
      </c>
      <c r="E137" s="4">
        <v>216</v>
      </c>
      <c r="F137" s="4">
        <f>ROUND(Source!AP128,O137)</f>
        <v>0</v>
      </c>
      <c r="G137" s="4" t="s">
        <v>104</v>
      </c>
      <c r="H137" s="4" t="s">
        <v>105</v>
      </c>
      <c r="I137" s="4"/>
      <c r="J137" s="4"/>
      <c r="K137" s="4">
        <v>216</v>
      </c>
      <c r="L137" s="4">
        <v>8</v>
      </c>
      <c r="M137" s="4">
        <v>3</v>
      </c>
      <c r="N137" s="4" t="s">
        <v>3</v>
      </c>
      <c r="O137" s="4">
        <v>2</v>
      </c>
      <c r="P137" s="4"/>
    </row>
    <row r="138" spans="1:16" x14ac:dyDescent="0.2">
      <c r="A138" s="4">
        <v>50</v>
      </c>
      <c r="B138" s="4">
        <v>0</v>
      </c>
      <c r="C138" s="4">
        <v>0</v>
      </c>
      <c r="D138" s="4">
        <v>1</v>
      </c>
      <c r="E138" s="4">
        <v>223</v>
      </c>
      <c r="F138" s="4">
        <f>ROUND(Source!AQ128,O138)</f>
        <v>0</v>
      </c>
      <c r="G138" s="4" t="s">
        <v>106</v>
      </c>
      <c r="H138" s="4" t="s">
        <v>107</v>
      </c>
      <c r="I138" s="4"/>
      <c r="J138" s="4"/>
      <c r="K138" s="4">
        <v>223</v>
      </c>
      <c r="L138" s="4">
        <v>9</v>
      </c>
      <c r="M138" s="4">
        <v>3</v>
      </c>
      <c r="N138" s="4" t="s">
        <v>3</v>
      </c>
      <c r="O138" s="4">
        <v>2</v>
      </c>
      <c r="P138" s="4"/>
    </row>
    <row r="139" spans="1:16" x14ac:dyDescent="0.2">
      <c r="A139" s="4">
        <v>50</v>
      </c>
      <c r="B139" s="4">
        <v>0</v>
      </c>
      <c r="C139" s="4">
        <v>0</v>
      </c>
      <c r="D139" s="4">
        <v>1</v>
      </c>
      <c r="E139" s="4">
        <v>229</v>
      </c>
      <c r="F139" s="4">
        <f>ROUND(Source!AZ128,O139)</f>
        <v>0</v>
      </c>
      <c r="G139" s="4" t="s">
        <v>108</v>
      </c>
      <c r="H139" s="4" t="s">
        <v>109</v>
      </c>
      <c r="I139" s="4"/>
      <c r="J139" s="4"/>
      <c r="K139" s="4">
        <v>229</v>
      </c>
      <c r="L139" s="4">
        <v>10</v>
      </c>
      <c r="M139" s="4">
        <v>3</v>
      </c>
      <c r="N139" s="4" t="s">
        <v>3</v>
      </c>
      <c r="O139" s="4">
        <v>2</v>
      </c>
      <c r="P139" s="4"/>
    </row>
    <row r="140" spans="1:16" x14ac:dyDescent="0.2">
      <c r="A140" s="4">
        <v>50</v>
      </c>
      <c r="B140" s="4">
        <v>0</v>
      </c>
      <c r="C140" s="4">
        <v>0</v>
      </c>
      <c r="D140" s="4">
        <v>1</v>
      </c>
      <c r="E140" s="4">
        <v>203</v>
      </c>
      <c r="F140" s="4">
        <f>ROUND(Source!Q128,O140)</f>
        <v>114856.92</v>
      </c>
      <c r="G140" s="4" t="s">
        <v>110</v>
      </c>
      <c r="H140" s="4" t="s">
        <v>111</v>
      </c>
      <c r="I140" s="4"/>
      <c r="J140" s="4"/>
      <c r="K140" s="4">
        <v>203</v>
      </c>
      <c r="L140" s="4">
        <v>11</v>
      </c>
      <c r="M140" s="4">
        <v>3</v>
      </c>
      <c r="N140" s="4" t="s">
        <v>3</v>
      </c>
      <c r="O140" s="4">
        <v>2</v>
      </c>
      <c r="P140" s="4"/>
    </row>
    <row r="141" spans="1:16" x14ac:dyDescent="0.2">
      <c r="A141" s="4">
        <v>50</v>
      </c>
      <c r="B141" s="4">
        <v>0</v>
      </c>
      <c r="C141" s="4">
        <v>0</v>
      </c>
      <c r="D141" s="4">
        <v>1</v>
      </c>
      <c r="E141" s="4">
        <v>204</v>
      </c>
      <c r="F141" s="4">
        <f>ROUND(Source!R128,O141)</f>
        <v>1605.04</v>
      </c>
      <c r="G141" s="4" t="s">
        <v>112</v>
      </c>
      <c r="H141" s="4" t="s">
        <v>113</v>
      </c>
      <c r="I141" s="4"/>
      <c r="J141" s="4"/>
      <c r="K141" s="4">
        <v>204</v>
      </c>
      <c r="L141" s="4">
        <v>12</v>
      </c>
      <c r="M141" s="4">
        <v>3</v>
      </c>
      <c r="N141" s="4" t="s">
        <v>3</v>
      </c>
      <c r="O141" s="4">
        <v>2</v>
      </c>
      <c r="P141" s="4"/>
    </row>
    <row r="142" spans="1:16" x14ac:dyDescent="0.2">
      <c r="A142" s="4">
        <v>50</v>
      </c>
      <c r="B142" s="4">
        <v>0</v>
      </c>
      <c r="C142" s="4">
        <v>0</v>
      </c>
      <c r="D142" s="4">
        <v>1</v>
      </c>
      <c r="E142" s="4">
        <v>205</v>
      </c>
      <c r="F142" s="4">
        <f>ROUND(Source!S128,O142)</f>
        <v>211775.78</v>
      </c>
      <c r="G142" s="4" t="s">
        <v>114</v>
      </c>
      <c r="H142" s="4" t="s">
        <v>115</v>
      </c>
      <c r="I142" s="4"/>
      <c r="J142" s="4"/>
      <c r="K142" s="4">
        <v>205</v>
      </c>
      <c r="L142" s="4">
        <v>13</v>
      </c>
      <c r="M142" s="4">
        <v>3</v>
      </c>
      <c r="N142" s="4" t="s">
        <v>3</v>
      </c>
      <c r="O142" s="4">
        <v>2</v>
      </c>
      <c r="P142" s="4"/>
    </row>
    <row r="143" spans="1:16" x14ac:dyDescent="0.2">
      <c r="A143" s="4">
        <v>50</v>
      </c>
      <c r="B143" s="4">
        <v>0</v>
      </c>
      <c r="C143" s="4">
        <v>0</v>
      </c>
      <c r="D143" s="4">
        <v>1</v>
      </c>
      <c r="E143" s="4">
        <v>214</v>
      </c>
      <c r="F143" s="4">
        <f>ROUND(Source!AS128,O143)</f>
        <v>553509.55000000005</v>
      </c>
      <c r="G143" s="4" t="s">
        <v>116</v>
      </c>
      <c r="H143" s="4" t="s">
        <v>117</v>
      </c>
      <c r="I143" s="4"/>
      <c r="J143" s="4"/>
      <c r="K143" s="4">
        <v>214</v>
      </c>
      <c r="L143" s="4">
        <v>14</v>
      </c>
      <c r="M143" s="4">
        <v>3</v>
      </c>
      <c r="N143" s="4" t="s">
        <v>3</v>
      </c>
      <c r="O143" s="4">
        <v>2</v>
      </c>
      <c r="P143" s="4"/>
    </row>
    <row r="144" spans="1:16" x14ac:dyDescent="0.2">
      <c r="A144" s="4">
        <v>50</v>
      </c>
      <c r="B144" s="4">
        <v>0</v>
      </c>
      <c r="C144" s="4">
        <v>0</v>
      </c>
      <c r="D144" s="4">
        <v>1</v>
      </c>
      <c r="E144" s="4">
        <v>215</v>
      </c>
      <c r="F144" s="4">
        <f>ROUND(Source!AT128,O144)</f>
        <v>0</v>
      </c>
      <c r="G144" s="4" t="s">
        <v>118</v>
      </c>
      <c r="H144" s="4" t="s">
        <v>119</v>
      </c>
      <c r="I144" s="4"/>
      <c r="J144" s="4"/>
      <c r="K144" s="4">
        <v>215</v>
      </c>
      <c r="L144" s="4">
        <v>15</v>
      </c>
      <c r="M144" s="4">
        <v>3</v>
      </c>
      <c r="N144" s="4" t="s">
        <v>3</v>
      </c>
      <c r="O144" s="4">
        <v>2</v>
      </c>
      <c r="P144" s="4"/>
    </row>
    <row r="145" spans="1:205" x14ac:dyDescent="0.2">
      <c r="A145" s="4">
        <v>50</v>
      </c>
      <c r="B145" s="4">
        <v>0</v>
      </c>
      <c r="C145" s="4">
        <v>0</v>
      </c>
      <c r="D145" s="4">
        <v>1</v>
      </c>
      <c r="E145" s="4">
        <v>217</v>
      </c>
      <c r="F145" s="4">
        <f>ROUND(Source!AU128,O145)</f>
        <v>34686.910000000003</v>
      </c>
      <c r="G145" s="4" t="s">
        <v>120</v>
      </c>
      <c r="H145" s="4" t="s">
        <v>121</v>
      </c>
      <c r="I145" s="4"/>
      <c r="J145" s="4"/>
      <c r="K145" s="4">
        <v>217</v>
      </c>
      <c r="L145" s="4">
        <v>16</v>
      </c>
      <c r="M145" s="4">
        <v>3</v>
      </c>
      <c r="N145" s="4" t="s">
        <v>3</v>
      </c>
      <c r="O145" s="4">
        <v>2</v>
      </c>
      <c r="P145" s="4"/>
    </row>
    <row r="146" spans="1:205" x14ac:dyDescent="0.2">
      <c r="A146" s="4">
        <v>50</v>
      </c>
      <c r="B146" s="4">
        <v>0</v>
      </c>
      <c r="C146" s="4">
        <v>0</v>
      </c>
      <c r="D146" s="4">
        <v>1</v>
      </c>
      <c r="E146" s="4">
        <v>206</v>
      </c>
      <c r="F146" s="4">
        <f>ROUND(Source!T128,O146)</f>
        <v>0</v>
      </c>
      <c r="G146" s="4" t="s">
        <v>122</v>
      </c>
      <c r="H146" s="4" t="s">
        <v>123</v>
      </c>
      <c r="I146" s="4"/>
      <c r="J146" s="4"/>
      <c r="K146" s="4">
        <v>206</v>
      </c>
      <c r="L146" s="4">
        <v>17</v>
      </c>
      <c r="M146" s="4">
        <v>3</v>
      </c>
      <c r="N146" s="4" t="s">
        <v>3</v>
      </c>
      <c r="O146" s="4">
        <v>2</v>
      </c>
      <c r="P146" s="4"/>
    </row>
    <row r="147" spans="1:205" x14ac:dyDescent="0.2">
      <c r="A147" s="4">
        <v>50</v>
      </c>
      <c r="B147" s="4">
        <v>0</v>
      </c>
      <c r="C147" s="4">
        <v>0</v>
      </c>
      <c r="D147" s="4">
        <v>1</v>
      </c>
      <c r="E147" s="4">
        <v>207</v>
      </c>
      <c r="F147" s="4">
        <f>Source!U128</f>
        <v>75.174420385152004</v>
      </c>
      <c r="G147" s="4" t="s">
        <v>124</v>
      </c>
      <c r="H147" s="4" t="s">
        <v>125</v>
      </c>
      <c r="I147" s="4"/>
      <c r="J147" s="4"/>
      <c r="K147" s="4">
        <v>207</v>
      </c>
      <c r="L147" s="4">
        <v>18</v>
      </c>
      <c r="M147" s="4">
        <v>3</v>
      </c>
      <c r="N147" s="4" t="s">
        <v>3</v>
      </c>
      <c r="O147" s="4">
        <v>-1</v>
      </c>
      <c r="P147" s="4"/>
    </row>
    <row r="148" spans="1:205" x14ac:dyDescent="0.2">
      <c r="A148" s="4">
        <v>50</v>
      </c>
      <c r="B148" s="4">
        <v>0</v>
      </c>
      <c r="C148" s="4">
        <v>0</v>
      </c>
      <c r="D148" s="4">
        <v>1</v>
      </c>
      <c r="E148" s="4">
        <v>208</v>
      </c>
      <c r="F148" s="4">
        <f>Source!V128</f>
        <v>0</v>
      </c>
      <c r="G148" s="4" t="s">
        <v>126</v>
      </c>
      <c r="H148" s="4" t="s">
        <v>127</v>
      </c>
      <c r="I148" s="4"/>
      <c r="J148" s="4"/>
      <c r="K148" s="4">
        <v>208</v>
      </c>
      <c r="L148" s="4">
        <v>19</v>
      </c>
      <c r="M148" s="4">
        <v>3</v>
      </c>
      <c r="N148" s="4" t="s">
        <v>3</v>
      </c>
      <c r="O148" s="4">
        <v>-1</v>
      </c>
      <c r="P148" s="4"/>
    </row>
    <row r="149" spans="1:205" x14ac:dyDescent="0.2">
      <c r="A149" s="4">
        <v>50</v>
      </c>
      <c r="B149" s="4">
        <v>0</v>
      </c>
      <c r="C149" s="4">
        <v>0</v>
      </c>
      <c r="D149" s="4">
        <v>1</v>
      </c>
      <c r="E149" s="4">
        <v>209</v>
      </c>
      <c r="F149" s="4">
        <f>ROUND(Source!W128,O149)</f>
        <v>41.81</v>
      </c>
      <c r="G149" s="4" t="s">
        <v>128</v>
      </c>
      <c r="H149" s="4" t="s">
        <v>129</v>
      </c>
      <c r="I149" s="4"/>
      <c r="J149" s="4"/>
      <c r="K149" s="4">
        <v>209</v>
      </c>
      <c r="L149" s="4">
        <v>20</v>
      </c>
      <c r="M149" s="4">
        <v>3</v>
      </c>
      <c r="N149" s="4" t="s">
        <v>3</v>
      </c>
      <c r="O149" s="4">
        <v>2</v>
      </c>
      <c r="P149" s="4"/>
    </row>
    <row r="150" spans="1:205" x14ac:dyDescent="0.2">
      <c r="A150" s="4">
        <v>50</v>
      </c>
      <c r="B150" s="4">
        <v>0</v>
      </c>
      <c r="C150" s="4">
        <v>0</v>
      </c>
      <c r="D150" s="4">
        <v>1</v>
      </c>
      <c r="E150" s="4">
        <v>210</v>
      </c>
      <c r="F150" s="4">
        <f>ROUND(Source!X128,O150)</f>
        <v>20640.7</v>
      </c>
      <c r="G150" s="4" t="s">
        <v>130</v>
      </c>
      <c r="H150" s="4" t="s">
        <v>131</v>
      </c>
      <c r="I150" s="4"/>
      <c r="J150" s="4"/>
      <c r="K150" s="4">
        <v>210</v>
      </c>
      <c r="L150" s="4">
        <v>21</v>
      </c>
      <c r="M150" s="4">
        <v>3</v>
      </c>
      <c r="N150" s="4" t="s">
        <v>3</v>
      </c>
      <c r="O150" s="4">
        <v>2</v>
      </c>
      <c r="P150" s="4"/>
    </row>
    <row r="151" spans="1:205" x14ac:dyDescent="0.2">
      <c r="A151" s="4">
        <v>50</v>
      </c>
      <c r="B151" s="4">
        <v>0</v>
      </c>
      <c r="C151" s="4">
        <v>0</v>
      </c>
      <c r="D151" s="4">
        <v>1</v>
      </c>
      <c r="E151" s="4">
        <v>211</v>
      </c>
      <c r="F151" s="4">
        <f>ROUND(Source!Y128,O151)</f>
        <v>9461.1299999999992</v>
      </c>
      <c r="G151" s="4" t="s">
        <v>132</v>
      </c>
      <c r="H151" s="4" t="s">
        <v>133</v>
      </c>
      <c r="I151" s="4"/>
      <c r="J151" s="4"/>
      <c r="K151" s="4">
        <v>211</v>
      </c>
      <c r="L151" s="4">
        <v>22</v>
      </c>
      <c r="M151" s="4">
        <v>3</v>
      </c>
      <c r="N151" s="4" t="s">
        <v>3</v>
      </c>
      <c r="O151" s="4">
        <v>2</v>
      </c>
      <c r="P151" s="4"/>
    </row>
    <row r="152" spans="1:205" x14ac:dyDescent="0.2">
      <c r="A152" s="4">
        <v>50</v>
      </c>
      <c r="B152" s="4">
        <v>0</v>
      </c>
      <c r="C152" s="4">
        <v>0</v>
      </c>
      <c r="D152" s="4">
        <v>1</v>
      </c>
      <c r="E152" s="4">
        <v>224</v>
      </c>
      <c r="F152" s="4">
        <f>ROUND(Source!AR128,O152)</f>
        <v>588196.46</v>
      </c>
      <c r="G152" s="4" t="s">
        <v>134</v>
      </c>
      <c r="H152" s="4" t="s">
        <v>135</v>
      </c>
      <c r="I152" s="4"/>
      <c r="J152" s="4"/>
      <c r="K152" s="4">
        <v>224</v>
      </c>
      <c r="L152" s="4">
        <v>23</v>
      </c>
      <c r="M152" s="4">
        <v>3</v>
      </c>
      <c r="N152" s="4" t="s">
        <v>3</v>
      </c>
      <c r="O152" s="4">
        <v>2</v>
      </c>
      <c r="P152" s="4"/>
    </row>
    <row r="154" spans="1:205" x14ac:dyDescent="0.2">
      <c r="A154" s="1">
        <v>4</v>
      </c>
      <c r="B154" s="1">
        <v>1</v>
      </c>
      <c r="C154" s="1"/>
      <c r="D154" s="1">
        <f>ROW(A177)</f>
        <v>177</v>
      </c>
      <c r="E154" s="1"/>
      <c r="F154" s="1" t="s">
        <v>13</v>
      </c>
      <c r="G154" s="1" t="s">
        <v>201</v>
      </c>
      <c r="H154" s="1" t="s">
        <v>3</v>
      </c>
      <c r="I154" s="1">
        <v>0</v>
      </c>
      <c r="J154" s="1"/>
      <c r="K154" s="1">
        <v>-1</v>
      </c>
      <c r="L154" s="1"/>
      <c r="M154" s="1"/>
      <c r="N154" s="1"/>
      <c r="O154" s="1"/>
      <c r="P154" s="1"/>
      <c r="Q154" s="1"/>
      <c r="R154" s="1"/>
      <c r="S154" s="1"/>
      <c r="T154" s="1"/>
      <c r="U154" s="1" t="s">
        <v>3</v>
      </c>
      <c r="V154" s="1">
        <v>0</v>
      </c>
      <c r="W154" s="1"/>
      <c r="X154" s="1"/>
      <c r="Y154" s="1"/>
      <c r="Z154" s="1"/>
      <c r="AA154" s="1"/>
      <c r="AB154" s="1" t="s">
        <v>3</v>
      </c>
      <c r="AC154" s="1" t="s">
        <v>3</v>
      </c>
      <c r="AD154" s="1" t="s">
        <v>3</v>
      </c>
      <c r="AE154" s="1" t="s">
        <v>3</v>
      </c>
      <c r="AF154" s="1" t="s">
        <v>3</v>
      </c>
      <c r="AG154" s="1" t="s">
        <v>3</v>
      </c>
      <c r="AH154" s="1"/>
      <c r="AI154" s="1"/>
      <c r="AJ154" s="1"/>
      <c r="AK154" s="1"/>
      <c r="AL154" s="1"/>
      <c r="AM154" s="1"/>
      <c r="AN154" s="1"/>
      <c r="AO154" s="1"/>
      <c r="AP154" s="1" t="s">
        <v>3</v>
      </c>
      <c r="AQ154" s="1" t="s">
        <v>3</v>
      </c>
      <c r="AR154" s="1" t="s">
        <v>3</v>
      </c>
      <c r="AS154" s="1"/>
      <c r="AT154" s="1"/>
      <c r="AU154" s="1"/>
      <c r="AV154" s="1"/>
      <c r="AW154" s="1"/>
      <c r="AX154" s="1"/>
      <c r="AY154" s="1"/>
      <c r="AZ154" s="1" t="s">
        <v>3</v>
      </c>
      <c r="BA154" s="1"/>
      <c r="BB154" s="1" t="s">
        <v>3</v>
      </c>
      <c r="BC154" s="1" t="s">
        <v>3</v>
      </c>
      <c r="BD154" s="1" t="s">
        <v>3</v>
      </c>
      <c r="BE154" s="1" t="s">
        <v>3</v>
      </c>
      <c r="BF154" s="1" t="s">
        <v>3</v>
      </c>
      <c r="BG154" s="1" t="s">
        <v>3</v>
      </c>
      <c r="BH154" s="1" t="s">
        <v>3</v>
      </c>
      <c r="BI154" s="1" t="s">
        <v>3</v>
      </c>
      <c r="BJ154" s="1" t="s">
        <v>3</v>
      </c>
      <c r="BK154" s="1" t="s">
        <v>3</v>
      </c>
      <c r="BL154" s="1" t="s">
        <v>3</v>
      </c>
      <c r="BM154" s="1" t="s">
        <v>3</v>
      </c>
      <c r="BN154" s="1" t="s">
        <v>3</v>
      </c>
      <c r="BO154" s="1" t="s">
        <v>3</v>
      </c>
      <c r="BP154" s="1" t="s">
        <v>3</v>
      </c>
      <c r="BQ154" s="1"/>
      <c r="BR154" s="1"/>
      <c r="BS154" s="1"/>
      <c r="BT154" s="1"/>
      <c r="BU154" s="1"/>
      <c r="BV154" s="1"/>
      <c r="BW154" s="1"/>
      <c r="BX154" s="1">
        <v>0</v>
      </c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>
        <v>0</v>
      </c>
    </row>
    <row r="156" spans="1:205" x14ac:dyDescent="0.2">
      <c r="A156" s="2">
        <v>52</v>
      </c>
      <c r="B156" s="2">
        <f t="shared" ref="B156:G156" si="139">B177</f>
        <v>1</v>
      </c>
      <c r="C156" s="2">
        <f t="shared" si="139"/>
        <v>4</v>
      </c>
      <c r="D156" s="2">
        <f t="shared" si="139"/>
        <v>154</v>
      </c>
      <c r="E156" s="2">
        <f t="shared" si="139"/>
        <v>0</v>
      </c>
      <c r="F156" s="2" t="str">
        <f t="shared" si="139"/>
        <v>Новый раздел</v>
      </c>
      <c r="G156" s="2" t="str">
        <f t="shared" si="139"/>
        <v>Байпасы: 2Ду400 - 18 п.м; 2Ду200 - 12 п.м</v>
      </c>
      <c r="H156" s="2"/>
      <c r="I156" s="2"/>
      <c r="J156" s="2"/>
      <c r="K156" s="2"/>
      <c r="L156" s="2"/>
      <c r="M156" s="2"/>
      <c r="N156" s="2"/>
      <c r="O156" s="2">
        <f t="shared" ref="O156:AT156" si="140">O177</f>
        <v>2789121.73</v>
      </c>
      <c r="P156" s="2">
        <f t="shared" si="140"/>
        <v>1336337.93</v>
      </c>
      <c r="Q156" s="2">
        <f t="shared" si="140"/>
        <v>400145.21</v>
      </c>
      <c r="R156" s="2">
        <f t="shared" si="140"/>
        <v>2749.49</v>
      </c>
      <c r="S156" s="2">
        <f t="shared" si="140"/>
        <v>1052638.5900000001</v>
      </c>
      <c r="T156" s="2">
        <f t="shared" si="140"/>
        <v>0</v>
      </c>
      <c r="U156" s="2">
        <f t="shared" si="140"/>
        <v>1.5469368335999998</v>
      </c>
      <c r="V156" s="2">
        <f t="shared" si="140"/>
        <v>0</v>
      </c>
      <c r="W156" s="2">
        <f t="shared" si="140"/>
        <v>118.19</v>
      </c>
      <c r="X156" s="2">
        <f t="shared" si="140"/>
        <v>267.69</v>
      </c>
      <c r="Y156" s="2">
        <f t="shared" si="140"/>
        <v>149.02000000000001</v>
      </c>
      <c r="Z156" s="2">
        <f t="shared" si="140"/>
        <v>0</v>
      </c>
      <c r="AA156" s="2">
        <f t="shared" si="140"/>
        <v>0</v>
      </c>
      <c r="AB156" s="2">
        <f t="shared" si="140"/>
        <v>2789121.73</v>
      </c>
      <c r="AC156" s="2">
        <f t="shared" si="140"/>
        <v>1336337.93</v>
      </c>
      <c r="AD156" s="2">
        <f t="shared" si="140"/>
        <v>400145.21</v>
      </c>
      <c r="AE156" s="2">
        <f t="shared" si="140"/>
        <v>2749.49</v>
      </c>
      <c r="AF156" s="2">
        <f t="shared" si="140"/>
        <v>1052638.5900000001</v>
      </c>
      <c r="AG156" s="2">
        <f t="shared" si="140"/>
        <v>0</v>
      </c>
      <c r="AH156" s="2">
        <f t="shared" si="140"/>
        <v>1.5469368335999998</v>
      </c>
      <c r="AI156" s="2">
        <f t="shared" si="140"/>
        <v>0</v>
      </c>
      <c r="AJ156" s="2">
        <f t="shared" si="140"/>
        <v>118.19</v>
      </c>
      <c r="AK156" s="2">
        <f t="shared" si="140"/>
        <v>267.69</v>
      </c>
      <c r="AL156" s="2">
        <f t="shared" si="140"/>
        <v>149.02000000000001</v>
      </c>
      <c r="AM156" s="2">
        <f t="shared" si="140"/>
        <v>0</v>
      </c>
      <c r="AN156" s="2">
        <f t="shared" si="140"/>
        <v>0</v>
      </c>
      <c r="AO156" s="2">
        <f t="shared" si="140"/>
        <v>0</v>
      </c>
      <c r="AP156" s="2">
        <f t="shared" si="140"/>
        <v>94388.08</v>
      </c>
      <c r="AQ156" s="2">
        <f t="shared" si="140"/>
        <v>0</v>
      </c>
      <c r="AR156" s="2">
        <f t="shared" si="140"/>
        <v>2794130.09</v>
      </c>
      <c r="AS156" s="2">
        <f t="shared" si="140"/>
        <v>2627661.65</v>
      </c>
      <c r="AT156" s="2">
        <f t="shared" si="140"/>
        <v>0</v>
      </c>
      <c r="AU156" s="2">
        <f t="shared" ref="AU156:BZ156" si="141">AU177</f>
        <v>72080.36</v>
      </c>
      <c r="AV156" s="2">
        <f t="shared" si="141"/>
        <v>1336337.93</v>
      </c>
      <c r="AW156" s="2">
        <f t="shared" si="141"/>
        <v>1241949.8500000001</v>
      </c>
      <c r="AX156" s="2">
        <f t="shared" si="141"/>
        <v>0</v>
      </c>
      <c r="AY156" s="2">
        <f t="shared" si="141"/>
        <v>1241949.8500000001</v>
      </c>
      <c r="AZ156" s="2">
        <f t="shared" si="141"/>
        <v>94388.08</v>
      </c>
      <c r="BA156" s="2">
        <f t="shared" si="141"/>
        <v>0</v>
      </c>
      <c r="BB156" s="2">
        <f t="shared" si="141"/>
        <v>0</v>
      </c>
      <c r="BC156" s="2">
        <f t="shared" si="141"/>
        <v>94388.08</v>
      </c>
      <c r="BD156" s="2">
        <f t="shared" si="141"/>
        <v>0</v>
      </c>
      <c r="BE156" s="2">
        <f t="shared" si="141"/>
        <v>2794130.09</v>
      </c>
      <c r="BF156" s="2">
        <f t="shared" si="141"/>
        <v>2627661.65</v>
      </c>
      <c r="BG156" s="2">
        <f t="shared" si="141"/>
        <v>0</v>
      </c>
      <c r="BH156" s="2">
        <f t="shared" si="141"/>
        <v>72080.36</v>
      </c>
      <c r="BI156" s="2">
        <f t="shared" si="141"/>
        <v>1336337.93</v>
      </c>
      <c r="BJ156" s="2">
        <f t="shared" si="141"/>
        <v>1241949.8499999999</v>
      </c>
      <c r="BK156" s="2">
        <f t="shared" si="141"/>
        <v>0</v>
      </c>
      <c r="BL156" s="2">
        <f t="shared" si="141"/>
        <v>1241949.8499999999</v>
      </c>
      <c r="BM156" s="2">
        <f t="shared" si="141"/>
        <v>94388.08</v>
      </c>
      <c r="BN156" s="2">
        <f t="shared" si="141"/>
        <v>0</v>
      </c>
      <c r="BO156" s="3">
        <f t="shared" si="141"/>
        <v>0</v>
      </c>
      <c r="BP156" s="3">
        <f t="shared" si="141"/>
        <v>0</v>
      </c>
      <c r="BQ156" s="3">
        <f t="shared" si="141"/>
        <v>0</v>
      </c>
      <c r="BR156" s="3">
        <f t="shared" si="141"/>
        <v>0</v>
      </c>
      <c r="BS156" s="3">
        <f t="shared" si="141"/>
        <v>0</v>
      </c>
      <c r="BT156" s="3">
        <f t="shared" si="141"/>
        <v>0</v>
      </c>
      <c r="BU156" s="3">
        <f t="shared" si="141"/>
        <v>0</v>
      </c>
      <c r="BV156" s="3">
        <f t="shared" si="141"/>
        <v>0</v>
      </c>
      <c r="BW156" s="3">
        <f t="shared" si="141"/>
        <v>0</v>
      </c>
      <c r="BX156" s="3">
        <f t="shared" si="141"/>
        <v>0</v>
      </c>
      <c r="BY156" s="3">
        <f t="shared" si="141"/>
        <v>0</v>
      </c>
      <c r="BZ156" s="3">
        <f t="shared" si="141"/>
        <v>0</v>
      </c>
      <c r="CA156" s="3">
        <f t="shared" ref="CA156:DF156" si="142">CA177</f>
        <v>0</v>
      </c>
      <c r="CB156" s="3">
        <f t="shared" si="142"/>
        <v>0</v>
      </c>
      <c r="CC156" s="3">
        <f t="shared" si="142"/>
        <v>0</v>
      </c>
      <c r="CD156" s="3">
        <f t="shared" si="142"/>
        <v>0</v>
      </c>
      <c r="CE156" s="3">
        <f t="shared" si="142"/>
        <v>0</v>
      </c>
      <c r="CF156" s="3">
        <f t="shared" si="142"/>
        <v>0</v>
      </c>
      <c r="CG156" s="3">
        <f t="shared" si="142"/>
        <v>0</v>
      </c>
      <c r="CH156" s="3">
        <f t="shared" si="142"/>
        <v>0</v>
      </c>
      <c r="CI156" s="3">
        <f t="shared" si="142"/>
        <v>0</v>
      </c>
      <c r="CJ156" s="3">
        <f t="shared" si="142"/>
        <v>0</v>
      </c>
      <c r="CK156" s="3">
        <f t="shared" si="142"/>
        <v>0</v>
      </c>
      <c r="CL156" s="3">
        <f t="shared" si="142"/>
        <v>0</v>
      </c>
      <c r="CM156" s="3">
        <f t="shared" si="142"/>
        <v>0</v>
      </c>
      <c r="CN156" s="3">
        <f t="shared" si="142"/>
        <v>0</v>
      </c>
      <c r="CO156" s="3">
        <f t="shared" si="142"/>
        <v>0</v>
      </c>
      <c r="CP156" s="3">
        <f t="shared" si="142"/>
        <v>0</v>
      </c>
      <c r="CQ156" s="3">
        <f t="shared" si="142"/>
        <v>0</v>
      </c>
      <c r="CR156" s="3">
        <f t="shared" si="142"/>
        <v>0</v>
      </c>
      <c r="CS156" s="3">
        <f t="shared" si="142"/>
        <v>0</v>
      </c>
      <c r="CT156" s="3">
        <f t="shared" si="142"/>
        <v>0</v>
      </c>
      <c r="CU156" s="3">
        <f t="shared" si="142"/>
        <v>0</v>
      </c>
      <c r="CV156" s="3">
        <f t="shared" si="142"/>
        <v>0</v>
      </c>
      <c r="CW156" s="3">
        <f t="shared" si="142"/>
        <v>0</v>
      </c>
      <c r="CX156" s="3">
        <f t="shared" si="142"/>
        <v>0</v>
      </c>
      <c r="CY156" s="3">
        <f t="shared" si="142"/>
        <v>0</v>
      </c>
      <c r="CZ156" s="3">
        <f t="shared" si="142"/>
        <v>0</v>
      </c>
      <c r="DA156" s="3">
        <f t="shared" si="142"/>
        <v>0</v>
      </c>
      <c r="DB156" s="3">
        <f t="shared" si="142"/>
        <v>0</v>
      </c>
      <c r="DC156" s="3">
        <f t="shared" si="142"/>
        <v>0</v>
      </c>
      <c r="DD156" s="3">
        <f t="shared" si="142"/>
        <v>0</v>
      </c>
      <c r="DE156" s="3">
        <f t="shared" si="142"/>
        <v>0</v>
      </c>
      <c r="DF156" s="3">
        <f t="shared" si="142"/>
        <v>0</v>
      </c>
      <c r="DG156" s="3">
        <f t="shared" ref="DG156:DN156" si="143">DG177</f>
        <v>0</v>
      </c>
      <c r="DH156" s="3">
        <f t="shared" si="143"/>
        <v>0</v>
      </c>
      <c r="DI156" s="3">
        <f t="shared" si="143"/>
        <v>0</v>
      </c>
      <c r="DJ156" s="3">
        <f t="shared" si="143"/>
        <v>0</v>
      </c>
      <c r="DK156" s="3">
        <f t="shared" si="143"/>
        <v>0</v>
      </c>
      <c r="DL156" s="3">
        <f t="shared" si="143"/>
        <v>0</v>
      </c>
      <c r="DM156" s="3">
        <f t="shared" si="143"/>
        <v>0</v>
      </c>
      <c r="DN156" s="3">
        <f t="shared" si="143"/>
        <v>0</v>
      </c>
    </row>
    <row r="158" spans="1:205" x14ac:dyDescent="0.2">
      <c r="A158">
        <v>17</v>
      </c>
      <c r="B158">
        <v>1</v>
      </c>
      <c r="E158" t="s">
        <v>202</v>
      </c>
      <c r="F158" t="s">
        <v>203</v>
      </c>
      <c r="G158" t="s">
        <v>204</v>
      </c>
      <c r="H158" t="s">
        <v>18</v>
      </c>
      <c r="I158">
        <v>18</v>
      </c>
      <c r="J158">
        <v>0</v>
      </c>
      <c r="O158">
        <f t="shared" ref="O158:O175" si="144">ROUND(CP158,2)</f>
        <v>418970.38</v>
      </c>
      <c r="P158">
        <f t="shared" ref="P158:P175" si="145">ROUND(CQ158*I158,2)</f>
        <v>148709.51999999999</v>
      </c>
      <c r="Q158">
        <f t="shared" ref="Q158:Q175" si="146">ROUND(CR158*I158,2)</f>
        <v>37512.54</v>
      </c>
      <c r="R158">
        <f t="shared" ref="R158:R175" si="147">ROUND(CS158*I158,2)</f>
        <v>0</v>
      </c>
      <c r="S158">
        <f t="shared" ref="S158:S175" si="148">ROUND(CT158*I158,2)</f>
        <v>232748.32</v>
      </c>
      <c r="T158">
        <f t="shared" ref="T158:T175" si="149">ROUND(CU158*I158,2)</f>
        <v>0</v>
      </c>
      <c r="U158">
        <f t="shared" ref="U158:U175" si="150">CV158*I158</f>
        <v>0</v>
      </c>
      <c r="V158">
        <f t="shared" ref="V158:V175" si="151">CW158*I158</f>
        <v>0</v>
      </c>
      <c r="W158">
        <f t="shared" ref="W158:W175" si="152">ROUND(CX158*I158,2)</f>
        <v>0</v>
      </c>
      <c r="X158">
        <f t="shared" ref="X158:X175" si="153">ROUND(CY158,2)</f>
        <v>0</v>
      </c>
      <c r="Y158">
        <f t="shared" ref="Y158:Y175" si="154">ROUND(CZ158,2)</f>
        <v>0</v>
      </c>
      <c r="AA158">
        <v>90163004</v>
      </c>
      <c r="AB158">
        <f t="shared" ref="AB158:AB175" si="155">ROUND((AC158+AD158+AF158),6)</f>
        <v>3003.95</v>
      </c>
      <c r="AC158">
        <f>ROUND((ES158),6)</f>
        <v>1908</v>
      </c>
      <c r="AD158">
        <f>ROUND(((ET158*1.15)),6)</f>
        <v>195.5</v>
      </c>
      <c r="AE158">
        <f>ROUND(((EU158*1.15)),6)</f>
        <v>0</v>
      </c>
      <c r="AF158">
        <f>ROUND(((EV158*1.15)),6)</f>
        <v>900.45</v>
      </c>
      <c r="AG158">
        <f t="shared" ref="AG158:AG175" si="156">ROUND((AP158),6)</f>
        <v>0</v>
      </c>
      <c r="AH158">
        <f>((EW158*1.15))</f>
        <v>0</v>
      </c>
      <c r="AI158">
        <f>((EX158*1.15))</f>
        <v>0</v>
      </c>
      <c r="AJ158">
        <f t="shared" ref="AJ158:AJ175" si="157">ROUND((AS158),6)</f>
        <v>0</v>
      </c>
      <c r="AK158">
        <v>2861</v>
      </c>
      <c r="AL158">
        <v>1908</v>
      </c>
      <c r="AM158">
        <v>170</v>
      </c>
      <c r="AN158">
        <v>0</v>
      </c>
      <c r="AO158">
        <v>783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1</v>
      </c>
      <c r="AW158">
        <v>1</v>
      </c>
      <c r="AZ158">
        <v>1</v>
      </c>
      <c r="BA158">
        <v>14.36</v>
      </c>
      <c r="BB158">
        <v>10.66</v>
      </c>
      <c r="BC158">
        <v>4.33</v>
      </c>
      <c r="BD158" t="s">
        <v>3</v>
      </c>
      <c r="BE158" t="s">
        <v>3</v>
      </c>
      <c r="BF158" t="s">
        <v>3</v>
      </c>
      <c r="BG158" t="s">
        <v>3</v>
      </c>
      <c r="BH158">
        <v>0</v>
      </c>
      <c r="BI158">
        <v>1</v>
      </c>
      <c r="BJ158" t="s">
        <v>205</v>
      </c>
      <c r="BM158">
        <v>1114</v>
      </c>
      <c r="BN158">
        <v>0</v>
      </c>
      <c r="BO158" t="s">
        <v>203</v>
      </c>
      <c r="BP158">
        <v>1</v>
      </c>
      <c r="BQ158">
        <v>160</v>
      </c>
      <c r="BR158">
        <v>0</v>
      </c>
      <c r="BS158">
        <v>14.36</v>
      </c>
      <c r="BT158">
        <v>1</v>
      </c>
      <c r="BU158">
        <v>1</v>
      </c>
      <c r="BV158">
        <v>1</v>
      </c>
      <c r="BW158">
        <v>1</v>
      </c>
      <c r="BX158">
        <v>1</v>
      </c>
      <c r="BY158" t="s">
        <v>3</v>
      </c>
      <c r="BZ158">
        <v>0</v>
      </c>
      <c r="CA158">
        <v>0</v>
      </c>
      <c r="CF158">
        <v>0</v>
      </c>
      <c r="CG158">
        <v>0</v>
      </c>
      <c r="CM158">
        <v>0</v>
      </c>
      <c r="CN158" t="s">
        <v>3</v>
      </c>
      <c r="CO158">
        <v>0</v>
      </c>
      <c r="CP158">
        <f t="shared" ref="CP158:CP175" si="158">(P158+Q158+S158)</f>
        <v>418970.38</v>
      </c>
      <c r="CQ158">
        <f t="shared" ref="CQ158:CQ175" si="159">(AC158*BC158*AW158)</f>
        <v>8261.64</v>
      </c>
      <c r="CR158">
        <f t="shared" ref="CR158:CR175" si="160">(AD158*BB158*AV158)</f>
        <v>2084.0300000000002</v>
      </c>
      <c r="CS158">
        <f t="shared" ref="CS158:CS175" si="161">(AE158*BS158*AV158)</f>
        <v>0</v>
      </c>
      <c r="CT158">
        <f t="shared" ref="CT158:CT175" si="162">(AF158*BA158*AV158)</f>
        <v>12930.462</v>
      </c>
      <c r="CU158">
        <f t="shared" ref="CU158:CU175" si="163">AG158</f>
        <v>0</v>
      </c>
      <c r="CV158">
        <f t="shared" ref="CV158:CV175" si="164">(AH158*AV158)</f>
        <v>0</v>
      </c>
      <c r="CW158">
        <f t="shared" ref="CW158:CW175" si="165">AI158</f>
        <v>0</v>
      </c>
      <c r="CX158">
        <f t="shared" ref="CX158:CX175" si="166">AJ158</f>
        <v>0</v>
      </c>
      <c r="CY158">
        <f t="shared" ref="CY158:CY175" si="167">S158*(BZ158/100)</f>
        <v>0</v>
      </c>
      <c r="CZ158">
        <f t="shared" ref="CZ158:CZ175" si="168">S158*(CA158/100)</f>
        <v>0</v>
      </c>
      <c r="DC158" t="s">
        <v>3</v>
      </c>
      <c r="DD158" t="s">
        <v>3</v>
      </c>
      <c r="DE158" t="s">
        <v>47</v>
      </c>
      <c r="DF158" t="s">
        <v>47</v>
      </c>
      <c r="DG158" t="s">
        <v>47</v>
      </c>
      <c r="DH158" t="s">
        <v>3</v>
      </c>
      <c r="DI158" t="s">
        <v>47</v>
      </c>
      <c r="DJ158" t="s">
        <v>47</v>
      </c>
      <c r="DK158" t="s">
        <v>3</v>
      </c>
      <c r="DL158" t="s">
        <v>3</v>
      </c>
      <c r="DM158" t="s">
        <v>3</v>
      </c>
      <c r="DN158">
        <v>0</v>
      </c>
      <c r="DO158">
        <v>0</v>
      </c>
      <c r="DP158">
        <v>1</v>
      </c>
      <c r="DQ158">
        <v>1</v>
      </c>
      <c r="DU158">
        <v>1003</v>
      </c>
      <c r="DV158" t="s">
        <v>18</v>
      </c>
      <c r="DW158" t="s">
        <v>18</v>
      </c>
      <c r="DX158">
        <v>1</v>
      </c>
      <c r="EE158">
        <v>33196057</v>
      </c>
      <c r="EF158">
        <v>160</v>
      </c>
      <c r="EG158" t="s">
        <v>24</v>
      </c>
      <c r="EH158">
        <v>0</v>
      </c>
      <c r="EI158" t="s">
        <v>3</v>
      </c>
      <c r="EJ158">
        <v>1</v>
      </c>
      <c r="EK158">
        <v>1114</v>
      </c>
      <c r="EL158" t="s">
        <v>25</v>
      </c>
      <c r="EM158" t="s">
        <v>26</v>
      </c>
      <c r="EO158" t="s">
        <v>3</v>
      </c>
      <c r="EQ158">
        <v>0</v>
      </c>
      <c r="ER158">
        <v>2861</v>
      </c>
      <c r="ES158">
        <v>1908</v>
      </c>
      <c r="ET158">
        <v>170</v>
      </c>
      <c r="EU158">
        <v>0</v>
      </c>
      <c r="EV158">
        <v>783</v>
      </c>
      <c r="EW158">
        <v>0</v>
      </c>
      <c r="EX158">
        <v>0</v>
      </c>
      <c r="EY158">
        <v>0</v>
      </c>
      <c r="FQ158">
        <v>0</v>
      </c>
      <c r="FR158">
        <f t="shared" ref="FR158:FR175" si="169">ROUND(IF(AND(BH158=3,BI158=3),P158,0),2)</f>
        <v>0</v>
      </c>
      <c r="FS158">
        <v>0</v>
      </c>
      <c r="FX158">
        <v>0</v>
      </c>
      <c r="FY158">
        <v>0</v>
      </c>
      <c r="GA158" t="s">
        <v>3</v>
      </c>
      <c r="GD158">
        <v>0</v>
      </c>
      <c r="GF158">
        <v>-1930683414</v>
      </c>
      <c r="GG158">
        <v>2</v>
      </c>
      <c r="GH158">
        <v>1</v>
      </c>
      <c r="GI158">
        <v>2</v>
      </c>
      <c r="GJ158">
        <v>0</v>
      </c>
      <c r="GK158">
        <f>ROUND(R158*(R12)/100,2)</f>
        <v>0</v>
      </c>
      <c r="GL158">
        <f t="shared" ref="GL158:GL175" si="170">ROUND(IF(AND(BH158=3,BI158=3,FS158&lt;&gt;0),P158,0),2)</f>
        <v>0</v>
      </c>
      <c r="GM158">
        <f t="shared" ref="GM158:GM175" si="171">O158+X158+Y158+GK158</f>
        <v>418970.38</v>
      </c>
      <c r="GN158">
        <f t="shared" ref="GN158:GN175" si="172">ROUND(IF(OR(BI158=0,BI158=1),O158+X158+Y158+GK158,0),2)</f>
        <v>418970.38</v>
      </c>
      <c r="GO158">
        <f t="shared" ref="GO158:GO175" si="173">ROUND(IF(BI158=2,O158+X158+Y158+GK158,0),2)</f>
        <v>0</v>
      </c>
      <c r="GP158">
        <f t="shared" ref="GP158:GP175" si="174">ROUND(IF(BI158=4,O158+X158+Y158+GK158,0),2)</f>
        <v>0</v>
      </c>
      <c r="GR158">
        <v>0</v>
      </c>
      <c r="GT158">
        <v>0</v>
      </c>
      <c r="GU158">
        <v>1</v>
      </c>
      <c r="GV158">
        <v>0</v>
      </c>
      <c r="GW158">
        <v>0</v>
      </c>
    </row>
    <row r="159" spans="1:205" x14ac:dyDescent="0.2">
      <c r="A159">
        <v>17</v>
      </c>
      <c r="B159">
        <v>1</v>
      </c>
      <c r="C159">
        <f>ROW(SmtRes!A53)</f>
        <v>53</v>
      </c>
      <c r="E159" t="s">
        <v>206</v>
      </c>
      <c r="F159" t="s">
        <v>207</v>
      </c>
      <c r="G159" t="s">
        <v>208</v>
      </c>
      <c r="H159" t="s">
        <v>179</v>
      </c>
      <c r="I159">
        <v>2</v>
      </c>
      <c r="J159">
        <v>0</v>
      </c>
      <c r="O159">
        <f t="shared" si="144"/>
        <v>651746.75</v>
      </c>
      <c r="P159">
        <f t="shared" si="145"/>
        <v>407516.13</v>
      </c>
      <c r="Q159">
        <f t="shared" si="146"/>
        <v>48874.86</v>
      </c>
      <c r="R159">
        <f t="shared" si="147"/>
        <v>0</v>
      </c>
      <c r="S159">
        <f t="shared" si="148"/>
        <v>195355.76</v>
      </c>
      <c r="T159">
        <f t="shared" si="149"/>
        <v>0</v>
      </c>
      <c r="U159">
        <f t="shared" si="150"/>
        <v>0</v>
      </c>
      <c r="V159">
        <f t="shared" si="151"/>
        <v>0</v>
      </c>
      <c r="W159">
        <f t="shared" si="152"/>
        <v>47.86</v>
      </c>
      <c r="X159">
        <f t="shared" si="153"/>
        <v>0</v>
      </c>
      <c r="Y159">
        <f t="shared" si="154"/>
        <v>0</v>
      </c>
      <c r="AA159">
        <v>90163004</v>
      </c>
      <c r="AB159">
        <f t="shared" si="155"/>
        <v>43304.353999999999</v>
      </c>
      <c r="AC159">
        <f>ROUND(((ES159*0.92)),6)</f>
        <v>34890.080000000002</v>
      </c>
      <c r="AD159">
        <f>ROUND(((ET159*1.15*0.92)),6)</f>
        <v>2128.6959999999999</v>
      </c>
      <c r="AE159">
        <f>ROUND(((EU159*1.15*0.92)),6)</f>
        <v>0</v>
      </c>
      <c r="AF159">
        <f>ROUND(((EV159*1.15*0.92)),6)</f>
        <v>6285.5780000000004</v>
      </c>
      <c r="AG159">
        <f t="shared" si="156"/>
        <v>0</v>
      </c>
      <c r="AH159">
        <f>((EW159*1.15*0.92))</f>
        <v>0</v>
      </c>
      <c r="AI159">
        <f>((EX159*1.15*0.92))</f>
        <v>0</v>
      </c>
      <c r="AJ159">
        <f t="shared" si="157"/>
        <v>23.93</v>
      </c>
      <c r="AK159">
        <v>45877</v>
      </c>
      <c r="AL159">
        <v>37924</v>
      </c>
      <c r="AM159">
        <v>2012</v>
      </c>
      <c r="AN159">
        <v>0</v>
      </c>
      <c r="AO159">
        <v>5941</v>
      </c>
      <c r="AP159">
        <v>0</v>
      </c>
      <c r="AQ159">
        <v>0</v>
      </c>
      <c r="AR159">
        <v>0</v>
      </c>
      <c r="AS159">
        <v>23.93</v>
      </c>
      <c r="AT159">
        <v>0</v>
      </c>
      <c r="AU159">
        <v>0</v>
      </c>
      <c r="AV159">
        <v>1</v>
      </c>
      <c r="AW159">
        <v>1</v>
      </c>
      <c r="AZ159">
        <v>1</v>
      </c>
      <c r="BA159">
        <v>15.54</v>
      </c>
      <c r="BB159">
        <v>11.48</v>
      </c>
      <c r="BC159">
        <v>5.84</v>
      </c>
      <c r="BD159" t="s">
        <v>3</v>
      </c>
      <c r="BE159" t="s">
        <v>3</v>
      </c>
      <c r="BF159" t="s">
        <v>3</v>
      </c>
      <c r="BG159" t="s">
        <v>3</v>
      </c>
      <c r="BH159">
        <v>0</v>
      </c>
      <c r="BI159">
        <v>1</v>
      </c>
      <c r="BJ159" t="s">
        <v>209</v>
      </c>
      <c r="BM159">
        <v>1114</v>
      </c>
      <c r="BN159">
        <v>0</v>
      </c>
      <c r="BO159" t="s">
        <v>207</v>
      </c>
      <c r="BP159">
        <v>1</v>
      </c>
      <c r="BQ159">
        <v>160</v>
      </c>
      <c r="BR159">
        <v>0</v>
      </c>
      <c r="BS159">
        <v>15.54</v>
      </c>
      <c r="BT159">
        <v>1</v>
      </c>
      <c r="BU159">
        <v>1</v>
      </c>
      <c r="BV159">
        <v>1</v>
      </c>
      <c r="BW159">
        <v>1</v>
      </c>
      <c r="BX159">
        <v>1</v>
      </c>
      <c r="BY159" t="s">
        <v>3</v>
      </c>
      <c r="BZ159">
        <v>0</v>
      </c>
      <c r="CA159">
        <v>0</v>
      </c>
      <c r="CF159">
        <v>0</v>
      </c>
      <c r="CG159">
        <v>0</v>
      </c>
      <c r="CM159">
        <v>0</v>
      </c>
      <c r="CN159" t="s">
        <v>210</v>
      </c>
      <c r="CO159">
        <v>0</v>
      </c>
      <c r="CP159">
        <f t="shared" si="158"/>
        <v>651746.75</v>
      </c>
      <c r="CQ159">
        <f t="shared" si="159"/>
        <v>203758.06720000002</v>
      </c>
      <c r="CR159">
        <f t="shared" si="160"/>
        <v>24437.430079999998</v>
      </c>
      <c r="CS159">
        <f t="shared" si="161"/>
        <v>0</v>
      </c>
      <c r="CT159">
        <f t="shared" si="162"/>
        <v>97677.882119999995</v>
      </c>
      <c r="CU159">
        <f t="shared" si="163"/>
        <v>0</v>
      </c>
      <c r="CV159">
        <f t="shared" si="164"/>
        <v>0</v>
      </c>
      <c r="CW159">
        <f t="shared" si="165"/>
        <v>0</v>
      </c>
      <c r="CX159">
        <f t="shared" si="166"/>
        <v>23.93</v>
      </c>
      <c r="CY159">
        <f t="shared" si="167"/>
        <v>0</v>
      </c>
      <c r="CZ159">
        <f t="shared" si="168"/>
        <v>0</v>
      </c>
      <c r="DC159" t="s">
        <v>3</v>
      </c>
      <c r="DD159" t="s">
        <v>211</v>
      </c>
      <c r="DE159" t="s">
        <v>212</v>
      </c>
      <c r="DF159" t="s">
        <v>212</v>
      </c>
      <c r="DG159" t="s">
        <v>212</v>
      </c>
      <c r="DH159" t="s">
        <v>3</v>
      </c>
      <c r="DI159" t="s">
        <v>212</v>
      </c>
      <c r="DJ159" t="s">
        <v>212</v>
      </c>
      <c r="DK159" t="s">
        <v>3</v>
      </c>
      <c r="DL159" t="s">
        <v>3</v>
      </c>
      <c r="DM159" t="s">
        <v>3</v>
      </c>
      <c r="DN159">
        <v>0</v>
      </c>
      <c r="DO159">
        <v>0</v>
      </c>
      <c r="DP159">
        <v>1</v>
      </c>
      <c r="DQ159">
        <v>1</v>
      </c>
      <c r="DU159">
        <v>1013</v>
      </c>
      <c r="DV159" t="s">
        <v>179</v>
      </c>
      <c r="DW159" t="s">
        <v>179</v>
      </c>
      <c r="DX159">
        <v>1</v>
      </c>
      <c r="EE159">
        <v>33196057</v>
      </c>
      <c r="EF159">
        <v>160</v>
      </c>
      <c r="EG159" t="s">
        <v>24</v>
      </c>
      <c r="EH159">
        <v>0</v>
      </c>
      <c r="EI159" t="s">
        <v>3</v>
      </c>
      <c r="EJ159">
        <v>1</v>
      </c>
      <c r="EK159">
        <v>1114</v>
      </c>
      <c r="EL159" t="s">
        <v>25</v>
      </c>
      <c r="EM159" t="s">
        <v>26</v>
      </c>
      <c r="EO159" t="s">
        <v>3</v>
      </c>
      <c r="EQ159">
        <v>256</v>
      </c>
      <c r="ER159">
        <v>45877</v>
      </c>
      <c r="ES159">
        <v>37924</v>
      </c>
      <c r="ET159">
        <v>2012</v>
      </c>
      <c r="EU159">
        <v>0</v>
      </c>
      <c r="EV159">
        <v>5941</v>
      </c>
      <c r="EW159">
        <v>0</v>
      </c>
      <c r="EX159">
        <v>0</v>
      </c>
      <c r="EY159">
        <v>0</v>
      </c>
      <c r="FQ159">
        <v>0</v>
      </c>
      <c r="FR159">
        <f t="shared" si="169"/>
        <v>0</v>
      </c>
      <c r="FS159">
        <v>0</v>
      </c>
      <c r="FX159">
        <v>0</v>
      </c>
      <c r="FY159">
        <v>0</v>
      </c>
      <c r="GA159" t="s">
        <v>3</v>
      </c>
      <c r="GD159">
        <v>0</v>
      </c>
      <c r="GF159">
        <v>1079814831</v>
      </c>
      <c r="GG159">
        <v>2</v>
      </c>
      <c r="GH159">
        <v>1</v>
      </c>
      <c r="GI159">
        <v>2</v>
      </c>
      <c r="GJ159">
        <v>0</v>
      </c>
      <c r="GK159">
        <f>ROUND(R159*(R12)/100,2)</f>
        <v>0</v>
      </c>
      <c r="GL159">
        <f t="shared" si="170"/>
        <v>0</v>
      </c>
      <c r="GM159">
        <f t="shared" si="171"/>
        <v>651746.75</v>
      </c>
      <c r="GN159">
        <f t="shared" si="172"/>
        <v>651746.75</v>
      </c>
      <c r="GO159">
        <f t="shared" si="173"/>
        <v>0</v>
      </c>
      <c r="GP159">
        <f t="shared" si="174"/>
        <v>0</v>
      </c>
      <c r="GR159">
        <v>0</v>
      </c>
      <c r="GT159">
        <v>0</v>
      </c>
      <c r="GU159">
        <v>5.68</v>
      </c>
      <c r="GV159">
        <v>-16.774929999999998</v>
      </c>
      <c r="GW159">
        <v>-0.235536</v>
      </c>
    </row>
    <row r="160" spans="1:205" x14ac:dyDescent="0.2">
      <c r="A160">
        <v>18</v>
      </c>
      <c r="B160">
        <v>1</v>
      </c>
      <c r="C160">
        <v>52</v>
      </c>
      <c r="E160" t="s">
        <v>213</v>
      </c>
      <c r="F160" t="s">
        <v>37</v>
      </c>
      <c r="G160" t="s">
        <v>38</v>
      </c>
      <c r="H160" t="s">
        <v>39</v>
      </c>
      <c r="I160">
        <f>I159*J160</f>
        <v>-0.43338599999999999</v>
      </c>
      <c r="J160">
        <v>-0.216693</v>
      </c>
      <c r="O160">
        <f t="shared" si="144"/>
        <v>0</v>
      </c>
      <c r="P160">
        <f t="shared" si="145"/>
        <v>0</v>
      </c>
      <c r="Q160">
        <f t="shared" si="146"/>
        <v>0</v>
      </c>
      <c r="R160">
        <f t="shared" si="147"/>
        <v>0</v>
      </c>
      <c r="S160">
        <f t="shared" si="148"/>
        <v>0</v>
      </c>
      <c r="T160">
        <f t="shared" si="149"/>
        <v>0</v>
      </c>
      <c r="U160">
        <f t="shared" si="150"/>
        <v>0</v>
      </c>
      <c r="V160">
        <f t="shared" si="151"/>
        <v>0</v>
      </c>
      <c r="W160">
        <f t="shared" si="152"/>
        <v>0</v>
      </c>
      <c r="X160">
        <f t="shared" si="153"/>
        <v>0</v>
      </c>
      <c r="Y160">
        <f t="shared" si="154"/>
        <v>0</v>
      </c>
      <c r="AA160">
        <v>90163004</v>
      </c>
      <c r="AB160">
        <f t="shared" si="155"/>
        <v>0</v>
      </c>
      <c r="AC160">
        <f t="shared" ref="AC160:AF161" si="175">ROUND((ES160),6)</f>
        <v>0</v>
      </c>
      <c r="AD160">
        <f t="shared" si="175"/>
        <v>0</v>
      </c>
      <c r="AE160">
        <f t="shared" si="175"/>
        <v>0</v>
      </c>
      <c r="AF160">
        <f t="shared" si="175"/>
        <v>0</v>
      </c>
      <c r="AG160">
        <f t="shared" si="156"/>
        <v>0</v>
      </c>
      <c r="AH160">
        <f>(EW160)</f>
        <v>0</v>
      </c>
      <c r="AI160">
        <f>(EX160)</f>
        <v>0</v>
      </c>
      <c r="AJ160">
        <f t="shared" si="157"/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1</v>
      </c>
      <c r="AW160">
        <v>1</v>
      </c>
      <c r="AZ160">
        <v>1</v>
      </c>
      <c r="BA160">
        <v>1</v>
      </c>
      <c r="BB160">
        <v>1</v>
      </c>
      <c r="BC160">
        <v>1</v>
      </c>
      <c r="BD160" t="s">
        <v>3</v>
      </c>
      <c r="BE160" t="s">
        <v>3</v>
      </c>
      <c r="BF160" t="s">
        <v>3</v>
      </c>
      <c r="BG160" t="s">
        <v>3</v>
      </c>
      <c r="BH160">
        <v>3</v>
      </c>
      <c r="BI160">
        <v>1</v>
      </c>
      <c r="BJ160" t="s">
        <v>3</v>
      </c>
      <c r="BM160">
        <v>1114</v>
      </c>
      <c r="BN160">
        <v>0</v>
      </c>
      <c r="BO160" t="s">
        <v>3</v>
      </c>
      <c r="BP160">
        <v>0</v>
      </c>
      <c r="BQ160">
        <v>160</v>
      </c>
      <c r="BR160">
        <v>1</v>
      </c>
      <c r="BS160">
        <v>1</v>
      </c>
      <c r="BT160">
        <v>1</v>
      </c>
      <c r="BU160">
        <v>1</v>
      </c>
      <c r="BV160">
        <v>1</v>
      </c>
      <c r="BW160">
        <v>1</v>
      </c>
      <c r="BX160">
        <v>1</v>
      </c>
      <c r="BY160" t="s">
        <v>3</v>
      </c>
      <c r="BZ160">
        <v>0</v>
      </c>
      <c r="CA160">
        <v>0</v>
      </c>
      <c r="CF160">
        <v>0</v>
      </c>
      <c r="CG160">
        <v>0</v>
      </c>
      <c r="CM160">
        <v>0</v>
      </c>
      <c r="CN160" t="s">
        <v>3</v>
      </c>
      <c r="CO160">
        <v>0</v>
      </c>
      <c r="CP160">
        <f t="shared" si="158"/>
        <v>0</v>
      </c>
      <c r="CQ160">
        <f t="shared" si="159"/>
        <v>0</v>
      </c>
      <c r="CR160">
        <f t="shared" si="160"/>
        <v>0</v>
      </c>
      <c r="CS160">
        <f t="shared" si="161"/>
        <v>0</v>
      </c>
      <c r="CT160">
        <f t="shared" si="162"/>
        <v>0</v>
      </c>
      <c r="CU160">
        <f t="shared" si="163"/>
        <v>0</v>
      </c>
      <c r="CV160">
        <f t="shared" si="164"/>
        <v>0</v>
      </c>
      <c r="CW160">
        <f t="shared" si="165"/>
        <v>0</v>
      </c>
      <c r="CX160">
        <f t="shared" si="166"/>
        <v>0</v>
      </c>
      <c r="CY160">
        <f t="shared" si="167"/>
        <v>0</v>
      </c>
      <c r="CZ160">
        <f t="shared" si="168"/>
        <v>0</v>
      </c>
      <c r="DC160" t="s">
        <v>3</v>
      </c>
      <c r="DD160" t="s">
        <v>3</v>
      </c>
      <c r="DE160" t="s">
        <v>3</v>
      </c>
      <c r="DF160" t="s">
        <v>3</v>
      </c>
      <c r="DG160" t="s">
        <v>3</v>
      </c>
      <c r="DH160" t="s">
        <v>3</v>
      </c>
      <c r="DI160" t="s">
        <v>3</v>
      </c>
      <c r="DJ160" t="s">
        <v>3</v>
      </c>
      <c r="DK160" t="s">
        <v>3</v>
      </c>
      <c r="DL160" t="s">
        <v>3</v>
      </c>
      <c r="DM160" t="s">
        <v>3</v>
      </c>
      <c r="DN160">
        <v>0</v>
      </c>
      <c r="DO160">
        <v>0</v>
      </c>
      <c r="DP160">
        <v>1</v>
      </c>
      <c r="DQ160">
        <v>1</v>
      </c>
      <c r="DU160">
        <v>1009</v>
      </c>
      <c r="DV160" t="s">
        <v>39</v>
      </c>
      <c r="DW160" t="s">
        <v>39</v>
      </c>
      <c r="DX160">
        <v>1000</v>
      </c>
      <c r="EE160">
        <v>33196057</v>
      </c>
      <c r="EF160">
        <v>160</v>
      </c>
      <c r="EG160" t="s">
        <v>24</v>
      </c>
      <c r="EH160">
        <v>0</v>
      </c>
      <c r="EI160" t="s">
        <v>3</v>
      </c>
      <c r="EJ160">
        <v>1</v>
      </c>
      <c r="EK160">
        <v>1114</v>
      </c>
      <c r="EL160" t="s">
        <v>25</v>
      </c>
      <c r="EM160" t="s">
        <v>26</v>
      </c>
      <c r="EO160" t="s">
        <v>3</v>
      </c>
      <c r="EQ160">
        <v>33024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FQ160">
        <v>0</v>
      </c>
      <c r="FR160">
        <f t="shared" si="169"/>
        <v>0</v>
      </c>
      <c r="FS160">
        <v>0</v>
      </c>
      <c r="FX160">
        <v>0</v>
      </c>
      <c r="FY160">
        <v>0</v>
      </c>
      <c r="GA160" t="s">
        <v>3</v>
      </c>
      <c r="GD160">
        <v>0</v>
      </c>
      <c r="GF160">
        <v>-1541367988</v>
      </c>
      <c r="GG160">
        <v>2</v>
      </c>
      <c r="GH160">
        <v>0</v>
      </c>
      <c r="GI160">
        <v>-2</v>
      </c>
      <c r="GJ160">
        <v>0</v>
      </c>
      <c r="GK160">
        <f>ROUND(R160*(R12)/100,2)</f>
        <v>0</v>
      </c>
      <c r="GL160">
        <f t="shared" si="170"/>
        <v>0</v>
      </c>
      <c r="GM160">
        <f t="shared" si="171"/>
        <v>0</v>
      </c>
      <c r="GN160">
        <f t="shared" si="172"/>
        <v>0</v>
      </c>
      <c r="GO160">
        <f t="shared" si="173"/>
        <v>0</v>
      </c>
      <c r="GP160">
        <f t="shared" si="174"/>
        <v>0</v>
      </c>
      <c r="GR160">
        <v>0</v>
      </c>
      <c r="GT160">
        <v>0</v>
      </c>
      <c r="GU160">
        <v>1</v>
      </c>
      <c r="GV160">
        <v>0</v>
      </c>
      <c r="GW160">
        <v>0</v>
      </c>
    </row>
    <row r="161" spans="1:205" x14ac:dyDescent="0.2">
      <c r="A161">
        <v>18</v>
      </c>
      <c r="B161">
        <v>1</v>
      </c>
      <c r="C161">
        <v>53</v>
      </c>
      <c r="E161" t="s">
        <v>214</v>
      </c>
      <c r="F161" t="s">
        <v>37</v>
      </c>
      <c r="G161" t="s">
        <v>41</v>
      </c>
      <c r="H161" t="s">
        <v>30</v>
      </c>
      <c r="I161">
        <f>I159*J161</f>
        <v>-30.865870999999999</v>
      </c>
      <c r="J161">
        <v>-15.432935499999999</v>
      </c>
      <c r="O161">
        <f t="shared" si="144"/>
        <v>0</v>
      </c>
      <c r="P161">
        <f t="shared" si="145"/>
        <v>0</v>
      </c>
      <c r="Q161">
        <f t="shared" si="146"/>
        <v>0</v>
      </c>
      <c r="R161">
        <f t="shared" si="147"/>
        <v>0</v>
      </c>
      <c r="S161">
        <f t="shared" si="148"/>
        <v>0</v>
      </c>
      <c r="T161">
        <f t="shared" si="149"/>
        <v>0</v>
      </c>
      <c r="U161">
        <f t="shared" si="150"/>
        <v>0</v>
      </c>
      <c r="V161">
        <f t="shared" si="151"/>
        <v>0</v>
      </c>
      <c r="W161">
        <f t="shared" si="152"/>
        <v>0</v>
      </c>
      <c r="X161">
        <f t="shared" si="153"/>
        <v>0</v>
      </c>
      <c r="Y161">
        <f t="shared" si="154"/>
        <v>0</v>
      </c>
      <c r="AA161">
        <v>90163004</v>
      </c>
      <c r="AB161">
        <f t="shared" si="155"/>
        <v>0</v>
      </c>
      <c r="AC161">
        <f t="shared" si="175"/>
        <v>0</v>
      </c>
      <c r="AD161">
        <f t="shared" si="175"/>
        <v>0</v>
      </c>
      <c r="AE161">
        <f t="shared" si="175"/>
        <v>0</v>
      </c>
      <c r="AF161">
        <f t="shared" si="175"/>
        <v>0</v>
      </c>
      <c r="AG161">
        <f t="shared" si="156"/>
        <v>0</v>
      </c>
      <c r="AH161">
        <f>(EW161)</f>
        <v>0</v>
      </c>
      <c r="AI161">
        <f>(EX161)</f>
        <v>0</v>
      </c>
      <c r="AJ161">
        <f t="shared" si="157"/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1</v>
      </c>
      <c r="AW161">
        <v>1</v>
      </c>
      <c r="AZ161">
        <v>1</v>
      </c>
      <c r="BA161">
        <v>1</v>
      </c>
      <c r="BB161">
        <v>1</v>
      </c>
      <c r="BC161">
        <v>1</v>
      </c>
      <c r="BD161" t="s">
        <v>3</v>
      </c>
      <c r="BE161" t="s">
        <v>3</v>
      </c>
      <c r="BF161" t="s">
        <v>3</v>
      </c>
      <c r="BG161" t="s">
        <v>3</v>
      </c>
      <c r="BH161">
        <v>3</v>
      </c>
      <c r="BI161">
        <v>1</v>
      </c>
      <c r="BJ161" t="s">
        <v>3</v>
      </c>
      <c r="BM161">
        <v>1114</v>
      </c>
      <c r="BN161">
        <v>0</v>
      </c>
      <c r="BO161" t="s">
        <v>3</v>
      </c>
      <c r="BP161">
        <v>0</v>
      </c>
      <c r="BQ161">
        <v>160</v>
      </c>
      <c r="BR161">
        <v>1</v>
      </c>
      <c r="BS161">
        <v>1</v>
      </c>
      <c r="BT161">
        <v>1</v>
      </c>
      <c r="BU161">
        <v>1</v>
      </c>
      <c r="BV161">
        <v>1</v>
      </c>
      <c r="BW161">
        <v>1</v>
      </c>
      <c r="BX161">
        <v>1</v>
      </c>
      <c r="BY161" t="s">
        <v>3</v>
      </c>
      <c r="BZ161">
        <v>0</v>
      </c>
      <c r="CA161">
        <v>0</v>
      </c>
      <c r="CF161">
        <v>0</v>
      </c>
      <c r="CG161">
        <v>0</v>
      </c>
      <c r="CM161">
        <v>0</v>
      </c>
      <c r="CN161" t="s">
        <v>3</v>
      </c>
      <c r="CO161">
        <v>0</v>
      </c>
      <c r="CP161">
        <f t="shared" si="158"/>
        <v>0</v>
      </c>
      <c r="CQ161">
        <f t="shared" si="159"/>
        <v>0</v>
      </c>
      <c r="CR161">
        <f t="shared" si="160"/>
        <v>0</v>
      </c>
      <c r="CS161">
        <f t="shared" si="161"/>
        <v>0</v>
      </c>
      <c r="CT161">
        <f t="shared" si="162"/>
        <v>0</v>
      </c>
      <c r="CU161">
        <f t="shared" si="163"/>
        <v>0</v>
      </c>
      <c r="CV161">
        <f t="shared" si="164"/>
        <v>0</v>
      </c>
      <c r="CW161">
        <f t="shared" si="165"/>
        <v>0</v>
      </c>
      <c r="CX161">
        <f t="shared" si="166"/>
        <v>0</v>
      </c>
      <c r="CY161">
        <f t="shared" si="167"/>
        <v>0</v>
      </c>
      <c r="CZ161">
        <f t="shared" si="168"/>
        <v>0</v>
      </c>
      <c r="DC161" t="s">
        <v>3</v>
      </c>
      <c r="DD161" t="s">
        <v>3</v>
      </c>
      <c r="DE161" t="s">
        <v>3</v>
      </c>
      <c r="DF161" t="s">
        <v>3</v>
      </c>
      <c r="DG161" t="s">
        <v>3</v>
      </c>
      <c r="DH161" t="s">
        <v>3</v>
      </c>
      <c r="DI161" t="s">
        <v>3</v>
      </c>
      <c r="DJ161" t="s">
        <v>3</v>
      </c>
      <c r="DK161" t="s">
        <v>3</v>
      </c>
      <c r="DL161" t="s">
        <v>3</v>
      </c>
      <c r="DM161" t="s">
        <v>3</v>
      </c>
      <c r="DN161">
        <v>0</v>
      </c>
      <c r="DO161">
        <v>0</v>
      </c>
      <c r="DP161">
        <v>1</v>
      </c>
      <c r="DQ161">
        <v>1</v>
      </c>
      <c r="DU161">
        <v>1007</v>
      </c>
      <c r="DV161" t="s">
        <v>30</v>
      </c>
      <c r="DW161" t="s">
        <v>30</v>
      </c>
      <c r="DX161">
        <v>1</v>
      </c>
      <c r="EE161">
        <v>33196057</v>
      </c>
      <c r="EF161">
        <v>160</v>
      </c>
      <c r="EG161" t="s">
        <v>24</v>
      </c>
      <c r="EH161">
        <v>0</v>
      </c>
      <c r="EI161" t="s">
        <v>3</v>
      </c>
      <c r="EJ161">
        <v>1</v>
      </c>
      <c r="EK161">
        <v>1114</v>
      </c>
      <c r="EL161" t="s">
        <v>25</v>
      </c>
      <c r="EM161" t="s">
        <v>26</v>
      </c>
      <c r="EO161" t="s">
        <v>3</v>
      </c>
      <c r="EQ161">
        <v>33024</v>
      </c>
      <c r="ER161">
        <v>0</v>
      </c>
      <c r="ES161">
        <v>0</v>
      </c>
      <c r="ET161">
        <v>0</v>
      </c>
      <c r="EU161">
        <v>0</v>
      </c>
      <c r="EV161">
        <v>0</v>
      </c>
      <c r="EW161">
        <v>0</v>
      </c>
      <c r="EX161">
        <v>0</v>
      </c>
      <c r="FQ161">
        <v>0</v>
      </c>
      <c r="FR161">
        <f t="shared" si="169"/>
        <v>0</v>
      </c>
      <c r="FS161">
        <v>0</v>
      </c>
      <c r="FX161">
        <v>0</v>
      </c>
      <c r="FY161">
        <v>0</v>
      </c>
      <c r="GA161" t="s">
        <v>3</v>
      </c>
      <c r="GD161">
        <v>0</v>
      </c>
      <c r="GF161">
        <v>-589967668</v>
      </c>
      <c r="GG161">
        <v>2</v>
      </c>
      <c r="GH161">
        <v>0</v>
      </c>
      <c r="GI161">
        <v>-2</v>
      </c>
      <c r="GJ161">
        <v>0</v>
      </c>
      <c r="GK161">
        <f>ROUND(R161*(R12)/100,2)</f>
        <v>0</v>
      </c>
      <c r="GL161">
        <f t="shared" si="170"/>
        <v>0</v>
      </c>
      <c r="GM161">
        <f t="shared" si="171"/>
        <v>0</v>
      </c>
      <c r="GN161">
        <f t="shared" si="172"/>
        <v>0</v>
      </c>
      <c r="GO161">
        <f t="shared" si="173"/>
        <v>0</v>
      </c>
      <c r="GP161">
        <f t="shared" si="174"/>
        <v>0</v>
      </c>
      <c r="GR161">
        <v>0</v>
      </c>
      <c r="GT161">
        <v>0</v>
      </c>
      <c r="GU161">
        <v>1</v>
      </c>
      <c r="GV161">
        <v>0</v>
      </c>
      <c r="GW161">
        <v>0</v>
      </c>
    </row>
    <row r="162" spans="1:205" x14ac:dyDescent="0.2">
      <c r="A162">
        <v>17</v>
      </c>
      <c r="B162">
        <v>1</v>
      </c>
      <c r="E162" t="s">
        <v>215</v>
      </c>
      <c r="F162" t="s">
        <v>187</v>
      </c>
      <c r="G162" t="s">
        <v>188</v>
      </c>
      <c r="H162" t="s">
        <v>189</v>
      </c>
      <c r="I162">
        <v>2</v>
      </c>
      <c r="J162">
        <v>0</v>
      </c>
      <c r="O162">
        <f t="shared" si="144"/>
        <v>470508.85</v>
      </c>
      <c r="P162">
        <f t="shared" si="145"/>
        <v>216444.25</v>
      </c>
      <c r="Q162">
        <f t="shared" si="146"/>
        <v>80195.42</v>
      </c>
      <c r="R162">
        <f t="shared" si="147"/>
        <v>0</v>
      </c>
      <c r="S162">
        <f t="shared" si="148"/>
        <v>173869.18</v>
      </c>
      <c r="T162">
        <f t="shared" si="149"/>
        <v>0</v>
      </c>
      <c r="U162">
        <f t="shared" si="150"/>
        <v>0</v>
      </c>
      <c r="V162">
        <f t="shared" si="151"/>
        <v>0</v>
      </c>
      <c r="W162">
        <f t="shared" si="152"/>
        <v>0</v>
      </c>
      <c r="X162">
        <f t="shared" si="153"/>
        <v>0</v>
      </c>
      <c r="Y162">
        <f t="shared" si="154"/>
        <v>0</v>
      </c>
      <c r="AA162">
        <v>90163004</v>
      </c>
      <c r="AB162">
        <f t="shared" si="155"/>
        <v>32364.402999999998</v>
      </c>
      <c r="AC162">
        <f>ROUND(((ES162*0.82)),6)</f>
        <v>22313.84</v>
      </c>
      <c r="AD162">
        <f>ROUND(((ET162*1.15*0.65)),6)</f>
        <v>3750.9549999999999</v>
      </c>
      <c r="AE162">
        <f>ROUND(((EU162*1.15*0.65)),6)</f>
        <v>0</v>
      </c>
      <c r="AF162">
        <f>ROUND(((EV162*1.15*0.73)),6)</f>
        <v>6299.6080000000002</v>
      </c>
      <c r="AG162">
        <f t="shared" si="156"/>
        <v>0</v>
      </c>
      <c r="AH162">
        <f>((EW162*1.15*0.73))</f>
        <v>0</v>
      </c>
      <c r="AI162">
        <f>((EX162*1.15*0.65))</f>
        <v>0</v>
      </c>
      <c r="AJ162">
        <f t="shared" si="157"/>
        <v>0</v>
      </c>
      <c r="AK162">
        <v>39734</v>
      </c>
      <c r="AL162">
        <v>27212</v>
      </c>
      <c r="AM162">
        <v>5018</v>
      </c>
      <c r="AN162">
        <v>0</v>
      </c>
      <c r="AO162">
        <v>7504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1</v>
      </c>
      <c r="AW162">
        <v>1</v>
      </c>
      <c r="AZ162">
        <v>1</v>
      </c>
      <c r="BA162">
        <v>13.8</v>
      </c>
      <c r="BB162">
        <v>10.69</v>
      </c>
      <c r="BC162">
        <v>4.8499999999999996</v>
      </c>
      <c r="BD162" t="s">
        <v>3</v>
      </c>
      <c r="BE162" t="s">
        <v>3</v>
      </c>
      <c r="BF162" t="s">
        <v>3</v>
      </c>
      <c r="BG162" t="s">
        <v>3</v>
      </c>
      <c r="BH162">
        <v>0</v>
      </c>
      <c r="BI162">
        <v>1</v>
      </c>
      <c r="BJ162" t="s">
        <v>190</v>
      </c>
      <c r="BM162">
        <v>1114</v>
      </c>
      <c r="BN162">
        <v>0</v>
      </c>
      <c r="BO162" t="s">
        <v>187</v>
      </c>
      <c r="BP162">
        <v>1</v>
      </c>
      <c r="BQ162">
        <v>160</v>
      </c>
      <c r="BR162">
        <v>0</v>
      </c>
      <c r="BS162">
        <v>13.8</v>
      </c>
      <c r="BT162">
        <v>1</v>
      </c>
      <c r="BU162">
        <v>1</v>
      </c>
      <c r="BV162">
        <v>1</v>
      </c>
      <c r="BW162">
        <v>1</v>
      </c>
      <c r="BX162">
        <v>1</v>
      </c>
      <c r="BY162" t="s">
        <v>3</v>
      </c>
      <c r="BZ162">
        <v>0</v>
      </c>
      <c r="CA162">
        <v>0</v>
      </c>
      <c r="CF162">
        <v>0</v>
      </c>
      <c r="CG162">
        <v>0</v>
      </c>
      <c r="CM162">
        <v>0</v>
      </c>
      <c r="CN162" t="s">
        <v>216</v>
      </c>
      <c r="CO162">
        <v>0</v>
      </c>
      <c r="CP162">
        <f t="shared" si="158"/>
        <v>470508.85</v>
      </c>
      <c r="CQ162">
        <f t="shared" si="159"/>
        <v>108222.124</v>
      </c>
      <c r="CR162">
        <f t="shared" si="160"/>
        <v>40097.70895</v>
      </c>
      <c r="CS162">
        <f t="shared" si="161"/>
        <v>0</v>
      </c>
      <c r="CT162">
        <f t="shared" si="162"/>
        <v>86934.590400000001</v>
      </c>
      <c r="CU162">
        <f t="shared" si="163"/>
        <v>0</v>
      </c>
      <c r="CV162">
        <f t="shared" si="164"/>
        <v>0</v>
      </c>
      <c r="CW162">
        <f t="shared" si="165"/>
        <v>0</v>
      </c>
      <c r="CX162">
        <f t="shared" si="166"/>
        <v>0</v>
      </c>
      <c r="CY162">
        <f t="shared" si="167"/>
        <v>0</v>
      </c>
      <c r="CZ162">
        <f t="shared" si="168"/>
        <v>0</v>
      </c>
      <c r="DC162" t="s">
        <v>3</v>
      </c>
      <c r="DD162" t="s">
        <v>191</v>
      </c>
      <c r="DE162" t="s">
        <v>192</v>
      </c>
      <c r="DF162" t="s">
        <v>192</v>
      </c>
      <c r="DG162" t="s">
        <v>193</v>
      </c>
      <c r="DH162" t="s">
        <v>3</v>
      </c>
      <c r="DI162" t="s">
        <v>193</v>
      </c>
      <c r="DJ162" t="s">
        <v>192</v>
      </c>
      <c r="DK162" t="s">
        <v>3</v>
      </c>
      <c r="DL162" t="s">
        <v>3</v>
      </c>
      <c r="DM162" t="s">
        <v>3</v>
      </c>
      <c r="DN162">
        <v>0</v>
      </c>
      <c r="DO162">
        <v>0</v>
      </c>
      <c r="DP162">
        <v>1</v>
      </c>
      <c r="DQ162">
        <v>1</v>
      </c>
      <c r="DU162">
        <v>1013</v>
      </c>
      <c r="DV162" t="s">
        <v>189</v>
      </c>
      <c r="DW162" t="s">
        <v>189</v>
      </c>
      <c r="DX162">
        <v>1</v>
      </c>
      <c r="EE162">
        <v>33196057</v>
      </c>
      <c r="EF162">
        <v>160</v>
      </c>
      <c r="EG162" t="s">
        <v>24</v>
      </c>
      <c r="EH162">
        <v>0</v>
      </c>
      <c r="EI162" t="s">
        <v>3</v>
      </c>
      <c r="EJ162">
        <v>1</v>
      </c>
      <c r="EK162">
        <v>1114</v>
      </c>
      <c r="EL162" t="s">
        <v>25</v>
      </c>
      <c r="EM162" t="s">
        <v>26</v>
      </c>
      <c r="EO162" t="s">
        <v>3</v>
      </c>
      <c r="EQ162">
        <v>256</v>
      </c>
      <c r="ER162">
        <v>39734</v>
      </c>
      <c r="ES162">
        <v>27212</v>
      </c>
      <c r="ET162">
        <v>5018</v>
      </c>
      <c r="EU162">
        <v>0</v>
      </c>
      <c r="EV162">
        <v>7504</v>
      </c>
      <c r="EW162">
        <v>0</v>
      </c>
      <c r="EX162">
        <v>0</v>
      </c>
      <c r="EY162">
        <v>0</v>
      </c>
      <c r="FQ162">
        <v>0</v>
      </c>
      <c r="FR162">
        <f t="shared" si="169"/>
        <v>0</v>
      </c>
      <c r="FS162">
        <v>0</v>
      </c>
      <c r="FX162">
        <v>0</v>
      </c>
      <c r="FY162">
        <v>0</v>
      </c>
      <c r="GA162" t="s">
        <v>3</v>
      </c>
      <c r="GD162">
        <v>0</v>
      </c>
      <c r="GF162">
        <v>994366532</v>
      </c>
      <c r="GG162">
        <v>2</v>
      </c>
      <c r="GH162">
        <v>1</v>
      </c>
      <c r="GI162">
        <v>2</v>
      </c>
      <c r="GJ162">
        <v>0</v>
      </c>
      <c r="GK162">
        <f>ROUND(R162*(R12)/100,2)</f>
        <v>0</v>
      </c>
      <c r="GL162">
        <f t="shared" si="170"/>
        <v>0</v>
      </c>
      <c r="GM162">
        <f t="shared" si="171"/>
        <v>470508.85</v>
      </c>
      <c r="GN162">
        <f t="shared" si="172"/>
        <v>470508.85</v>
      </c>
      <c r="GO162">
        <f t="shared" si="173"/>
        <v>0</v>
      </c>
      <c r="GP162">
        <f t="shared" si="174"/>
        <v>0</v>
      </c>
      <c r="GR162">
        <v>0</v>
      </c>
      <c r="GT162">
        <v>0</v>
      </c>
      <c r="GU162">
        <v>1</v>
      </c>
      <c r="GV162">
        <v>0</v>
      </c>
      <c r="GW162">
        <v>0</v>
      </c>
    </row>
    <row r="163" spans="1:205" x14ac:dyDescent="0.2">
      <c r="A163">
        <v>17</v>
      </c>
      <c r="B163">
        <v>1</v>
      </c>
      <c r="E163" t="s">
        <v>217</v>
      </c>
      <c r="F163" t="s">
        <v>218</v>
      </c>
      <c r="G163" t="s">
        <v>219</v>
      </c>
      <c r="H163" t="s">
        <v>18</v>
      </c>
      <c r="I163">
        <v>12</v>
      </c>
      <c r="J163">
        <v>0</v>
      </c>
      <c r="O163">
        <f t="shared" si="144"/>
        <v>154802.72</v>
      </c>
      <c r="P163">
        <f t="shared" si="145"/>
        <v>54143.040000000001</v>
      </c>
      <c r="Q163">
        <f t="shared" si="146"/>
        <v>12461.4</v>
      </c>
      <c r="R163">
        <f t="shared" si="147"/>
        <v>0</v>
      </c>
      <c r="S163">
        <f t="shared" si="148"/>
        <v>88198.28</v>
      </c>
      <c r="T163">
        <f t="shared" si="149"/>
        <v>0</v>
      </c>
      <c r="U163">
        <f t="shared" si="150"/>
        <v>0</v>
      </c>
      <c r="V163">
        <f t="shared" si="151"/>
        <v>0</v>
      </c>
      <c r="W163">
        <f t="shared" si="152"/>
        <v>0</v>
      </c>
      <c r="X163">
        <f t="shared" si="153"/>
        <v>0</v>
      </c>
      <c r="Y163">
        <f t="shared" si="154"/>
        <v>0</v>
      </c>
      <c r="AA163">
        <v>90163004</v>
      </c>
      <c r="AB163">
        <f t="shared" si="155"/>
        <v>1762.8</v>
      </c>
      <c r="AC163">
        <f>ROUND((ES163),6)</f>
        <v>1151</v>
      </c>
      <c r="AD163">
        <f>ROUND(((ET163*1.15)),6)</f>
        <v>98.9</v>
      </c>
      <c r="AE163">
        <f>ROUND(((EU163*1.15)),6)</f>
        <v>0</v>
      </c>
      <c r="AF163">
        <f>ROUND(((EV163*1.15)),6)</f>
        <v>512.9</v>
      </c>
      <c r="AG163">
        <f t="shared" si="156"/>
        <v>0</v>
      </c>
      <c r="AH163">
        <f>((EW163*1.15))</f>
        <v>0</v>
      </c>
      <c r="AI163">
        <f>((EX163*1.15))</f>
        <v>0</v>
      </c>
      <c r="AJ163">
        <f t="shared" si="157"/>
        <v>0</v>
      </c>
      <c r="AK163">
        <v>1683</v>
      </c>
      <c r="AL163">
        <v>1151</v>
      </c>
      <c r="AM163">
        <v>86</v>
      </c>
      <c r="AN163">
        <v>0</v>
      </c>
      <c r="AO163">
        <v>446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1</v>
      </c>
      <c r="AW163">
        <v>1</v>
      </c>
      <c r="AZ163">
        <v>1</v>
      </c>
      <c r="BA163">
        <v>14.33</v>
      </c>
      <c r="BB163">
        <v>10.5</v>
      </c>
      <c r="BC163">
        <v>3.92</v>
      </c>
      <c r="BD163" t="s">
        <v>3</v>
      </c>
      <c r="BE163" t="s">
        <v>3</v>
      </c>
      <c r="BF163" t="s">
        <v>3</v>
      </c>
      <c r="BG163" t="s">
        <v>3</v>
      </c>
      <c r="BH163">
        <v>0</v>
      </c>
      <c r="BI163">
        <v>1</v>
      </c>
      <c r="BJ163" t="s">
        <v>220</v>
      </c>
      <c r="BM163">
        <v>1114</v>
      </c>
      <c r="BN163">
        <v>0</v>
      </c>
      <c r="BO163" t="s">
        <v>218</v>
      </c>
      <c r="BP163">
        <v>1</v>
      </c>
      <c r="BQ163">
        <v>160</v>
      </c>
      <c r="BR163">
        <v>0</v>
      </c>
      <c r="BS163">
        <v>14.33</v>
      </c>
      <c r="BT163">
        <v>1</v>
      </c>
      <c r="BU163">
        <v>1</v>
      </c>
      <c r="BV163">
        <v>1</v>
      </c>
      <c r="BW163">
        <v>1</v>
      </c>
      <c r="BX163">
        <v>1</v>
      </c>
      <c r="BY163" t="s">
        <v>3</v>
      </c>
      <c r="BZ163">
        <v>0</v>
      </c>
      <c r="CA163">
        <v>0</v>
      </c>
      <c r="CF163">
        <v>0</v>
      </c>
      <c r="CG163">
        <v>0</v>
      </c>
      <c r="CM163">
        <v>0</v>
      </c>
      <c r="CN163" t="s">
        <v>3</v>
      </c>
      <c r="CO163">
        <v>0</v>
      </c>
      <c r="CP163">
        <f t="shared" si="158"/>
        <v>154802.72</v>
      </c>
      <c r="CQ163">
        <f t="shared" si="159"/>
        <v>4511.92</v>
      </c>
      <c r="CR163">
        <f t="shared" si="160"/>
        <v>1038.45</v>
      </c>
      <c r="CS163">
        <f t="shared" si="161"/>
        <v>0</v>
      </c>
      <c r="CT163">
        <f t="shared" si="162"/>
        <v>7349.857</v>
      </c>
      <c r="CU163">
        <f t="shared" si="163"/>
        <v>0</v>
      </c>
      <c r="CV163">
        <f t="shared" si="164"/>
        <v>0</v>
      </c>
      <c r="CW163">
        <f t="shared" si="165"/>
        <v>0</v>
      </c>
      <c r="CX163">
        <f t="shared" si="166"/>
        <v>0</v>
      </c>
      <c r="CY163">
        <f t="shared" si="167"/>
        <v>0</v>
      </c>
      <c r="CZ163">
        <f t="shared" si="168"/>
        <v>0</v>
      </c>
      <c r="DC163" t="s">
        <v>3</v>
      </c>
      <c r="DD163" t="s">
        <v>3</v>
      </c>
      <c r="DE163" t="s">
        <v>47</v>
      </c>
      <c r="DF163" t="s">
        <v>47</v>
      </c>
      <c r="DG163" t="s">
        <v>47</v>
      </c>
      <c r="DH163" t="s">
        <v>3</v>
      </c>
      <c r="DI163" t="s">
        <v>47</v>
      </c>
      <c r="DJ163" t="s">
        <v>47</v>
      </c>
      <c r="DK163" t="s">
        <v>3</v>
      </c>
      <c r="DL163" t="s">
        <v>3</v>
      </c>
      <c r="DM163" t="s">
        <v>3</v>
      </c>
      <c r="DN163">
        <v>0</v>
      </c>
      <c r="DO163">
        <v>0</v>
      </c>
      <c r="DP163">
        <v>1</v>
      </c>
      <c r="DQ163">
        <v>1</v>
      </c>
      <c r="DU163">
        <v>1003</v>
      </c>
      <c r="DV163" t="s">
        <v>18</v>
      </c>
      <c r="DW163" t="s">
        <v>18</v>
      </c>
      <c r="DX163">
        <v>1</v>
      </c>
      <c r="EE163">
        <v>33196057</v>
      </c>
      <c r="EF163">
        <v>160</v>
      </c>
      <c r="EG163" t="s">
        <v>24</v>
      </c>
      <c r="EH163">
        <v>0</v>
      </c>
      <c r="EI163" t="s">
        <v>3</v>
      </c>
      <c r="EJ163">
        <v>1</v>
      </c>
      <c r="EK163">
        <v>1114</v>
      </c>
      <c r="EL163" t="s">
        <v>25</v>
      </c>
      <c r="EM163" t="s">
        <v>26</v>
      </c>
      <c r="EO163" t="s">
        <v>3</v>
      </c>
      <c r="EQ163">
        <v>0</v>
      </c>
      <c r="ER163">
        <v>1683</v>
      </c>
      <c r="ES163">
        <v>1151</v>
      </c>
      <c r="ET163">
        <v>86</v>
      </c>
      <c r="EU163">
        <v>0</v>
      </c>
      <c r="EV163">
        <v>446</v>
      </c>
      <c r="EW163">
        <v>0</v>
      </c>
      <c r="EX163">
        <v>0</v>
      </c>
      <c r="EY163">
        <v>0</v>
      </c>
      <c r="FQ163">
        <v>0</v>
      </c>
      <c r="FR163">
        <f t="shared" si="169"/>
        <v>0</v>
      </c>
      <c r="FS163">
        <v>0</v>
      </c>
      <c r="FX163">
        <v>0</v>
      </c>
      <c r="FY163">
        <v>0</v>
      </c>
      <c r="GA163" t="s">
        <v>3</v>
      </c>
      <c r="GD163">
        <v>0</v>
      </c>
      <c r="GF163">
        <v>-1904601110</v>
      </c>
      <c r="GG163">
        <v>2</v>
      </c>
      <c r="GH163">
        <v>1</v>
      </c>
      <c r="GI163">
        <v>2</v>
      </c>
      <c r="GJ163">
        <v>0</v>
      </c>
      <c r="GK163">
        <f>ROUND(R163*(R12)/100,2)</f>
        <v>0</v>
      </c>
      <c r="GL163">
        <f t="shared" si="170"/>
        <v>0</v>
      </c>
      <c r="GM163">
        <f t="shared" si="171"/>
        <v>154802.72</v>
      </c>
      <c r="GN163">
        <f t="shared" si="172"/>
        <v>154802.72</v>
      </c>
      <c r="GO163">
        <f t="shared" si="173"/>
        <v>0</v>
      </c>
      <c r="GP163">
        <f t="shared" si="174"/>
        <v>0</v>
      </c>
      <c r="GR163">
        <v>0</v>
      </c>
      <c r="GT163">
        <v>0</v>
      </c>
      <c r="GU163">
        <v>1</v>
      </c>
      <c r="GV163">
        <v>0</v>
      </c>
      <c r="GW163">
        <v>0</v>
      </c>
    </row>
    <row r="164" spans="1:205" x14ac:dyDescent="0.2">
      <c r="A164">
        <v>17</v>
      </c>
      <c r="B164">
        <v>1</v>
      </c>
      <c r="C164">
        <f>ROW(SmtRes!A55)</f>
        <v>55</v>
      </c>
      <c r="D164">
        <f>ROW(EtalonRes!A51)</f>
        <v>51</v>
      </c>
      <c r="E164" t="s">
        <v>221</v>
      </c>
      <c r="F164" t="s">
        <v>207</v>
      </c>
      <c r="G164" t="s">
        <v>208</v>
      </c>
      <c r="H164" t="s">
        <v>179</v>
      </c>
      <c r="I164">
        <v>1</v>
      </c>
      <c r="J164">
        <v>0</v>
      </c>
      <c r="O164">
        <f t="shared" si="144"/>
        <v>248301.35</v>
      </c>
      <c r="P164">
        <f t="shared" si="145"/>
        <v>155254.79</v>
      </c>
      <c r="Q164">
        <f t="shared" si="146"/>
        <v>18620.259999999998</v>
      </c>
      <c r="R164">
        <f t="shared" si="147"/>
        <v>0</v>
      </c>
      <c r="S164">
        <f t="shared" si="148"/>
        <v>74426.3</v>
      </c>
      <c r="T164">
        <f t="shared" si="149"/>
        <v>0</v>
      </c>
      <c r="U164">
        <f t="shared" si="150"/>
        <v>0</v>
      </c>
      <c r="V164">
        <f t="shared" si="151"/>
        <v>0</v>
      </c>
      <c r="W164">
        <f t="shared" si="152"/>
        <v>23.93</v>
      </c>
      <c r="X164">
        <f t="shared" si="153"/>
        <v>0</v>
      </c>
      <c r="Y164">
        <f t="shared" si="154"/>
        <v>0</v>
      </c>
      <c r="AA164">
        <v>90163004</v>
      </c>
      <c r="AB164">
        <f t="shared" si="155"/>
        <v>32996.034950000001</v>
      </c>
      <c r="AC164">
        <f>ROUND(((ES164*0.701)),6)</f>
        <v>26584.723999999998</v>
      </c>
      <c r="AD164">
        <f>ROUND(((ET164*1.15*0.701)),6)</f>
        <v>1621.9738</v>
      </c>
      <c r="AE164">
        <f>ROUND(((EU164*1.15*0.701)),6)</f>
        <v>0</v>
      </c>
      <c r="AF164">
        <f>ROUND(((EV164*1.15*0.701)),6)</f>
        <v>4789.3371500000003</v>
      </c>
      <c r="AG164">
        <f t="shared" si="156"/>
        <v>0</v>
      </c>
      <c r="AH164">
        <f>((EW164*1.15*0.701))</f>
        <v>0</v>
      </c>
      <c r="AI164">
        <f>((EX164*1.15*0.701))</f>
        <v>0</v>
      </c>
      <c r="AJ164">
        <f t="shared" si="157"/>
        <v>23.93</v>
      </c>
      <c r="AK164">
        <v>45877</v>
      </c>
      <c r="AL164">
        <v>37924</v>
      </c>
      <c r="AM164">
        <v>2012</v>
      </c>
      <c r="AN164">
        <v>0</v>
      </c>
      <c r="AO164">
        <v>5941</v>
      </c>
      <c r="AP164">
        <v>0</v>
      </c>
      <c r="AQ164">
        <v>0</v>
      </c>
      <c r="AR164">
        <v>0</v>
      </c>
      <c r="AS164">
        <v>23.93</v>
      </c>
      <c r="AT164">
        <v>0</v>
      </c>
      <c r="AU164">
        <v>0</v>
      </c>
      <c r="AV164">
        <v>1</v>
      </c>
      <c r="AW164">
        <v>1</v>
      </c>
      <c r="AZ164">
        <v>1</v>
      </c>
      <c r="BA164">
        <v>15.54</v>
      </c>
      <c r="BB164">
        <v>11.48</v>
      </c>
      <c r="BC164">
        <v>5.84</v>
      </c>
      <c r="BD164" t="s">
        <v>3</v>
      </c>
      <c r="BE164" t="s">
        <v>3</v>
      </c>
      <c r="BF164" t="s">
        <v>3</v>
      </c>
      <c r="BG164" t="s">
        <v>3</v>
      </c>
      <c r="BH164">
        <v>0</v>
      </c>
      <c r="BI164">
        <v>1</v>
      </c>
      <c r="BJ164" t="s">
        <v>209</v>
      </c>
      <c r="BM164">
        <v>1114</v>
      </c>
      <c r="BN164">
        <v>0</v>
      </c>
      <c r="BO164" t="s">
        <v>207</v>
      </c>
      <c r="BP164">
        <v>1</v>
      </c>
      <c r="BQ164">
        <v>160</v>
      </c>
      <c r="BR164">
        <v>0</v>
      </c>
      <c r="BS164">
        <v>15.54</v>
      </c>
      <c r="BT164">
        <v>1</v>
      </c>
      <c r="BU164">
        <v>1</v>
      </c>
      <c r="BV164">
        <v>1</v>
      </c>
      <c r="BW164">
        <v>1</v>
      </c>
      <c r="BX164">
        <v>1</v>
      </c>
      <c r="BY164" t="s">
        <v>3</v>
      </c>
      <c r="BZ164">
        <v>0</v>
      </c>
      <c r="CA164">
        <v>0</v>
      </c>
      <c r="CF164">
        <v>0</v>
      </c>
      <c r="CG164">
        <v>0</v>
      </c>
      <c r="CM164">
        <v>0</v>
      </c>
      <c r="CN164" t="s">
        <v>222</v>
      </c>
      <c r="CO164">
        <v>0</v>
      </c>
      <c r="CP164">
        <f t="shared" si="158"/>
        <v>248301.35000000003</v>
      </c>
      <c r="CQ164">
        <f t="shared" si="159"/>
        <v>155254.78816</v>
      </c>
      <c r="CR164">
        <f t="shared" si="160"/>
        <v>18620.259224000001</v>
      </c>
      <c r="CS164">
        <f t="shared" si="161"/>
        <v>0</v>
      </c>
      <c r="CT164">
        <f t="shared" si="162"/>
        <v>74426.299310999995</v>
      </c>
      <c r="CU164">
        <f t="shared" si="163"/>
        <v>0</v>
      </c>
      <c r="CV164">
        <f t="shared" si="164"/>
        <v>0</v>
      </c>
      <c r="CW164">
        <f t="shared" si="165"/>
        <v>0</v>
      </c>
      <c r="CX164">
        <f t="shared" si="166"/>
        <v>23.93</v>
      </c>
      <c r="CY164">
        <f t="shared" si="167"/>
        <v>0</v>
      </c>
      <c r="CZ164">
        <f t="shared" si="168"/>
        <v>0</v>
      </c>
      <c r="DC164" t="s">
        <v>3</v>
      </c>
      <c r="DD164" t="s">
        <v>223</v>
      </c>
      <c r="DE164" t="s">
        <v>224</v>
      </c>
      <c r="DF164" t="s">
        <v>224</v>
      </c>
      <c r="DG164" t="s">
        <v>224</v>
      </c>
      <c r="DH164" t="s">
        <v>3</v>
      </c>
      <c r="DI164" t="s">
        <v>224</v>
      </c>
      <c r="DJ164" t="s">
        <v>224</v>
      </c>
      <c r="DK164" t="s">
        <v>3</v>
      </c>
      <c r="DL164" t="s">
        <v>3</v>
      </c>
      <c r="DM164" t="s">
        <v>3</v>
      </c>
      <c r="DN164">
        <v>0</v>
      </c>
      <c r="DO164">
        <v>0</v>
      </c>
      <c r="DP164">
        <v>1</v>
      </c>
      <c r="DQ164">
        <v>1</v>
      </c>
      <c r="DU164">
        <v>1013</v>
      </c>
      <c r="DV164" t="s">
        <v>179</v>
      </c>
      <c r="DW164" t="s">
        <v>179</v>
      </c>
      <c r="DX164">
        <v>1</v>
      </c>
      <c r="EE164">
        <v>33196057</v>
      </c>
      <c r="EF164">
        <v>160</v>
      </c>
      <c r="EG164" t="s">
        <v>24</v>
      </c>
      <c r="EH164">
        <v>0</v>
      </c>
      <c r="EI164" t="s">
        <v>3</v>
      </c>
      <c r="EJ164">
        <v>1</v>
      </c>
      <c r="EK164">
        <v>1114</v>
      </c>
      <c r="EL164" t="s">
        <v>25</v>
      </c>
      <c r="EM164" t="s">
        <v>26</v>
      </c>
      <c r="EO164" t="s">
        <v>3</v>
      </c>
      <c r="EQ164">
        <v>256</v>
      </c>
      <c r="ER164">
        <v>45877</v>
      </c>
      <c r="ES164">
        <v>37924</v>
      </c>
      <c r="ET164">
        <v>2012</v>
      </c>
      <c r="EU164">
        <v>0</v>
      </c>
      <c r="EV164">
        <v>5941</v>
      </c>
      <c r="EW164">
        <v>0</v>
      </c>
      <c r="EX164">
        <v>0</v>
      </c>
      <c r="EY164">
        <v>0</v>
      </c>
      <c r="FQ164">
        <v>0</v>
      </c>
      <c r="FR164">
        <f t="shared" si="169"/>
        <v>0</v>
      </c>
      <c r="FS164">
        <v>0</v>
      </c>
      <c r="FX164">
        <v>0</v>
      </c>
      <c r="FY164">
        <v>0</v>
      </c>
      <c r="GA164" t="s">
        <v>3</v>
      </c>
      <c r="GD164">
        <v>0</v>
      </c>
      <c r="GF164">
        <v>1079814831</v>
      </c>
      <c r="GG164">
        <v>2</v>
      </c>
      <c r="GH164">
        <v>1</v>
      </c>
      <c r="GI164">
        <v>2</v>
      </c>
      <c r="GJ164">
        <v>0</v>
      </c>
      <c r="GK164">
        <f>ROUND(R164*(R12)/100,2)</f>
        <v>0</v>
      </c>
      <c r="GL164">
        <f t="shared" si="170"/>
        <v>0</v>
      </c>
      <c r="GM164">
        <f t="shared" si="171"/>
        <v>248301.35</v>
      </c>
      <c r="GN164">
        <f t="shared" si="172"/>
        <v>248301.35</v>
      </c>
      <c r="GO164">
        <f t="shared" si="173"/>
        <v>0</v>
      </c>
      <c r="GP164">
        <f t="shared" si="174"/>
        <v>0</v>
      </c>
      <c r="GR164">
        <v>0</v>
      </c>
      <c r="GT164">
        <v>0</v>
      </c>
      <c r="GU164">
        <v>5.68</v>
      </c>
      <c r="GV164">
        <v>-23.93</v>
      </c>
      <c r="GW164">
        <v>-0.33600000000000002</v>
      </c>
    </row>
    <row r="165" spans="1:205" x14ac:dyDescent="0.2">
      <c r="A165">
        <v>18</v>
      </c>
      <c r="B165">
        <v>1</v>
      </c>
      <c r="C165">
        <v>54</v>
      </c>
      <c r="E165" t="s">
        <v>225</v>
      </c>
      <c r="F165" t="s">
        <v>37</v>
      </c>
      <c r="G165" t="s">
        <v>38</v>
      </c>
      <c r="H165" t="s">
        <v>39</v>
      </c>
      <c r="I165">
        <f>I164*J165</f>
        <v>-0.235536</v>
      </c>
      <c r="J165">
        <v>-0.235536</v>
      </c>
      <c r="O165">
        <f t="shared" si="144"/>
        <v>0</v>
      </c>
      <c r="P165">
        <f t="shared" si="145"/>
        <v>0</v>
      </c>
      <c r="Q165">
        <f t="shared" si="146"/>
        <v>0</v>
      </c>
      <c r="R165">
        <f t="shared" si="147"/>
        <v>0</v>
      </c>
      <c r="S165">
        <f t="shared" si="148"/>
        <v>0</v>
      </c>
      <c r="T165">
        <f t="shared" si="149"/>
        <v>0</v>
      </c>
      <c r="U165">
        <f t="shared" si="150"/>
        <v>0</v>
      </c>
      <c r="V165">
        <f t="shared" si="151"/>
        <v>0</v>
      </c>
      <c r="W165">
        <f t="shared" si="152"/>
        <v>0</v>
      </c>
      <c r="X165">
        <f t="shared" si="153"/>
        <v>0</v>
      </c>
      <c r="Y165">
        <f t="shared" si="154"/>
        <v>0</v>
      </c>
      <c r="AA165">
        <v>90163004</v>
      </c>
      <c r="AB165">
        <f t="shared" si="155"/>
        <v>0</v>
      </c>
      <c r="AC165">
        <f t="shared" ref="AC165:AF166" si="176">ROUND((ES165),6)</f>
        <v>0</v>
      </c>
      <c r="AD165">
        <f t="shared" si="176"/>
        <v>0</v>
      </c>
      <c r="AE165">
        <f t="shared" si="176"/>
        <v>0</v>
      </c>
      <c r="AF165">
        <f t="shared" si="176"/>
        <v>0</v>
      </c>
      <c r="AG165">
        <f t="shared" si="156"/>
        <v>0</v>
      </c>
      <c r="AH165">
        <f>(EW165)</f>
        <v>0</v>
      </c>
      <c r="AI165">
        <f>(EX165)</f>
        <v>0</v>
      </c>
      <c r="AJ165">
        <f t="shared" si="157"/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1</v>
      </c>
      <c r="AW165">
        <v>1</v>
      </c>
      <c r="AZ165">
        <v>1</v>
      </c>
      <c r="BA165">
        <v>1</v>
      </c>
      <c r="BB165">
        <v>1</v>
      </c>
      <c r="BC165">
        <v>1</v>
      </c>
      <c r="BD165" t="s">
        <v>3</v>
      </c>
      <c r="BE165" t="s">
        <v>3</v>
      </c>
      <c r="BF165" t="s">
        <v>3</v>
      </c>
      <c r="BG165" t="s">
        <v>3</v>
      </c>
      <c r="BH165">
        <v>3</v>
      </c>
      <c r="BI165">
        <v>1</v>
      </c>
      <c r="BJ165" t="s">
        <v>3</v>
      </c>
      <c r="BM165">
        <v>1114</v>
      </c>
      <c r="BN165">
        <v>0</v>
      </c>
      <c r="BO165" t="s">
        <v>3</v>
      </c>
      <c r="BP165">
        <v>0</v>
      </c>
      <c r="BQ165">
        <v>160</v>
      </c>
      <c r="BR165">
        <v>1</v>
      </c>
      <c r="BS165">
        <v>1</v>
      </c>
      <c r="BT165">
        <v>1</v>
      </c>
      <c r="BU165">
        <v>1</v>
      </c>
      <c r="BV165">
        <v>1</v>
      </c>
      <c r="BW165">
        <v>1</v>
      </c>
      <c r="BX165">
        <v>1</v>
      </c>
      <c r="BY165" t="s">
        <v>3</v>
      </c>
      <c r="BZ165">
        <v>0</v>
      </c>
      <c r="CA165">
        <v>0</v>
      </c>
      <c r="CF165">
        <v>0</v>
      </c>
      <c r="CG165">
        <v>0</v>
      </c>
      <c r="CM165">
        <v>0</v>
      </c>
      <c r="CN165" t="s">
        <v>3</v>
      </c>
      <c r="CO165">
        <v>0</v>
      </c>
      <c r="CP165">
        <f t="shared" si="158"/>
        <v>0</v>
      </c>
      <c r="CQ165">
        <f t="shared" si="159"/>
        <v>0</v>
      </c>
      <c r="CR165">
        <f t="shared" si="160"/>
        <v>0</v>
      </c>
      <c r="CS165">
        <f t="shared" si="161"/>
        <v>0</v>
      </c>
      <c r="CT165">
        <f t="shared" si="162"/>
        <v>0</v>
      </c>
      <c r="CU165">
        <f t="shared" si="163"/>
        <v>0</v>
      </c>
      <c r="CV165">
        <f t="shared" si="164"/>
        <v>0</v>
      </c>
      <c r="CW165">
        <f t="shared" si="165"/>
        <v>0</v>
      </c>
      <c r="CX165">
        <f t="shared" si="166"/>
        <v>0</v>
      </c>
      <c r="CY165">
        <f t="shared" si="167"/>
        <v>0</v>
      </c>
      <c r="CZ165">
        <f t="shared" si="168"/>
        <v>0</v>
      </c>
      <c r="DC165" t="s">
        <v>3</v>
      </c>
      <c r="DD165" t="s">
        <v>3</v>
      </c>
      <c r="DE165" t="s">
        <v>3</v>
      </c>
      <c r="DF165" t="s">
        <v>3</v>
      </c>
      <c r="DG165" t="s">
        <v>3</v>
      </c>
      <c r="DH165" t="s">
        <v>3</v>
      </c>
      <c r="DI165" t="s">
        <v>3</v>
      </c>
      <c r="DJ165" t="s">
        <v>3</v>
      </c>
      <c r="DK165" t="s">
        <v>3</v>
      </c>
      <c r="DL165" t="s">
        <v>3</v>
      </c>
      <c r="DM165" t="s">
        <v>3</v>
      </c>
      <c r="DN165">
        <v>0</v>
      </c>
      <c r="DO165">
        <v>0</v>
      </c>
      <c r="DP165">
        <v>1</v>
      </c>
      <c r="DQ165">
        <v>1</v>
      </c>
      <c r="DU165">
        <v>1009</v>
      </c>
      <c r="DV165" t="s">
        <v>39</v>
      </c>
      <c r="DW165" t="s">
        <v>39</v>
      </c>
      <c r="DX165">
        <v>1000</v>
      </c>
      <c r="EE165">
        <v>33196057</v>
      </c>
      <c r="EF165">
        <v>160</v>
      </c>
      <c r="EG165" t="s">
        <v>24</v>
      </c>
      <c r="EH165">
        <v>0</v>
      </c>
      <c r="EI165" t="s">
        <v>3</v>
      </c>
      <c r="EJ165">
        <v>1</v>
      </c>
      <c r="EK165">
        <v>1114</v>
      </c>
      <c r="EL165" t="s">
        <v>25</v>
      </c>
      <c r="EM165" t="s">
        <v>26</v>
      </c>
      <c r="EO165" t="s">
        <v>3</v>
      </c>
      <c r="EQ165">
        <v>33024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FQ165">
        <v>0</v>
      </c>
      <c r="FR165">
        <f t="shared" si="169"/>
        <v>0</v>
      </c>
      <c r="FS165">
        <v>0</v>
      </c>
      <c r="FX165">
        <v>0</v>
      </c>
      <c r="FY165">
        <v>0</v>
      </c>
      <c r="GA165" t="s">
        <v>3</v>
      </c>
      <c r="GD165">
        <v>0</v>
      </c>
      <c r="GF165">
        <v>-1541367988</v>
      </c>
      <c r="GG165">
        <v>2</v>
      </c>
      <c r="GH165">
        <v>0</v>
      </c>
      <c r="GI165">
        <v>-2</v>
      </c>
      <c r="GJ165">
        <v>0</v>
      </c>
      <c r="GK165">
        <f>ROUND(R165*(R12)/100,2)</f>
        <v>0</v>
      </c>
      <c r="GL165">
        <f t="shared" si="170"/>
        <v>0</v>
      </c>
      <c r="GM165">
        <f t="shared" si="171"/>
        <v>0</v>
      </c>
      <c r="GN165">
        <f t="shared" si="172"/>
        <v>0</v>
      </c>
      <c r="GO165">
        <f t="shared" si="173"/>
        <v>0</v>
      </c>
      <c r="GP165">
        <f t="shared" si="174"/>
        <v>0</v>
      </c>
      <c r="GR165">
        <v>0</v>
      </c>
      <c r="GT165">
        <v>0</v>
      </c>
      <c r="GU165">
        <v>1</v>
      </c>
      <c r="GV165">
        <v>0</v>
      </c>
      <c r="GW165">
        <v>0</v>
      </c>
    </row>
    <row r="166" spans="1:205" x14ac:dyDescent="0.2">
      <c r="A166">
        <v>18</v>
      </c>
      <c r="B166">
        <v>1</v>
      </c>
      <c r="C166">
        <v>55</v>
      </c>
      <c r="E166" t="s">
        <v>226</v>
      </c>
      <c r="F166" t="s">
        <v>37</v>
      </c>
      <c r="G166" t="s">
        <v>41</v>
      </c>
      <c r="H166" t="s">
        <v>30</v>
      </c>
      <c r="I166">
        <f>I164*J166</f>
        <v>-16.774930000000001</v>
      </c>
      <c r="J166">
        <v>-16.774930000000001</v>
      </c>
      <c r="O166">
        <f t="shared" si="144"/>
        <v>0</v>
      </c>
      <c r="P166">
        <f t="shared" si="145"/>
        <v>0</v>
      </c>
      <c r="Q166">
        <f t="shared" si="146"/>
        <v>0</v>
      </c>
      <c r="R166">
        <f t="shared" si="147"/>
        <v>0</v>
      </c>
      <c r="S166">
        <f t="shared" si="148"/>
        <v>0</v>
      </c>
      <c r="T166">
        <f t="shared" si="149"/>
        <v>0</v>
      </c>
      <c r="U166">
        <f t="shared" si="150"/>
        <v>0</v>
      </c>
      <c r="V166">
        <f t="shared" si="151"/>
        <v>0</v>
      </c>
      <c r="W166">
        <f t="shared" si="152"/>
        <v>0</v>
      </c>
      <c r="X166">
        <f t="shared" si="153"/>
        <v>0</v>
      </c>
      <c r="Y166">
        <f t="shared" si="154"/>
        <v>0</v>
      </c>
      <c r="AA166">
        <v>90163004</v>
      </c>
      <c r="AB166">
        <f t="shared" si="155"/>
        <v>0</v>
      </c>
      <c r="AC166">
        <f t="shared" si="176"/>
        <v>0</v>
      </c>
      <c r="AD166">
        <f t="shared" si="176"/>
        <v>0</v>
      </c>
      <c r="AE166">
        <f t="shared" si="176"/>
        <v>0</v>
      </c>
      <c r="AF166">
        <f t="shared" si="176"/>
        <v>0</v>
      </c>
      <c r="AG166">
        <f t="shared" si="156"/>
        <v>0</v>
      </c>
      <c r="AH166">
        <f>(EW166)</f>
        <v>0</v>
      </c>
      <c r="AI166">
        <f>(EX166)</f>
        <v>0</v>
      </c>
      <c r="AJ166">
        <f t="shared" si="157"/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1</v>
      </c>
      <c r="AW166">
        <v>1</v>
      </c>
      <c r="AZ166">
        <v>1</v>
      </c>
      <c r="BA166">
        <v>1</v>
      </c>
      <c r="BB166">
        <v>1</v>
      </c>
      <c r="BC166">
        <v>1</v>
      </c>
      <c r="BD166" t="s">
        <v>3</v>
      </c>
      <c r="BE166" t="s">
        <v>3</v>
      </c>
      <c r="BF166" t="s">
        <v>3</v>
      </c>
      <c r="BG166" t="s">
        <v>3</v>
      </c>
      <c r="BH166">
        <v>3</v>
      </c>
      <c r="BI166">
        <v>1</v>
      </c>
      <c r="BJ166" t="s">
        <v>3</v>
      </c>
      <c r="BM166">
        <v>1114</v>
      </c>
      <c r="BN166">
        <v>0</v>
      </c>
      <c r="BO166" t="s">
        <v>3</v>
      </c>
      <c r="BP166">
        <v>0</v>
      </c>
      <c r="BQ166">
        <v>160</v>
      </c>
      <c r="BR166">
        <v>1</v>
      </c>
      <c r="BS166">
        <v>1</v>
      </c>
      <c r="BT166">
        <v>1</v>
      </c>
      <c r="BU166">
        <v>1</v>
      </c>
      <c r="BV166">
        <v>1</v>
      </c>
      <c r="BW166">
        <v>1</v>
      </c>
      <c r="BX166">
        <v>1</v>
      </c>
      <c r="BY166" t="s">
        <v>3</v>
      </c>
      <c r="BZ166">
        <v>0</v>
      </c>
      <c r="CA166">
        <v>0</v>
      </c>
      <c r="CF166">
        <v>0</v>
      </c>
      <c r="CG166">
        <v>0</v>
      </c>
      <c r="CM166">
        <v>0</v>
      </c>
      <c r="CN166" t="s">
        <v>3</v>
      </c>
      <c r="CO166">
        <v>0</v>
      </c>
      <c r="CP166">
        <f t="shared" si="158"/>
        <v>0</v>
      </c>
      <c r="CQ166">
        <f t="shared" si="159"/>
        <v>0</v>
      </c>
      <c r="CR166">
        <f t="shared" si="160"/>
        <v>0</v>
      </c>
      <c r="CS166">
        <f t="shared" si="161"/>
        <v>0</v>
      </c>
      <c r="CT166">
        <f t="shared" si="162"/>
        <v>0</v>
      </c>
      <c r="CU166">
        <f t="shared" si="163"/>
        <v>0</v>
      </c>
      <c r="CV166">
        <f t="shared" si="164"/>
        <v>0</v>
      </c>
      <c r="CW166">
        <f t="shared" si="165"/>
        <v>0</v>
      </c>
      <c r="CX166">
        <f t="shared" si="166"/>
        <v>0</v>
      </c>
      <c r="CY166">
        <f t="shared" si="167"/>
        <v>0</v>
      </c>
      <c r="CZ166">
        <f t="shared" si="168"/>
        <v>0</v>
      </c>
      <c r="DC166" t="s">
        <v>3</v>
      </c>
      <c r="DD166" t="s">
        <v>3</v>
      </c>
      <c r="DE166" t="s">
        <v>3</v>
      </c>
      <c r="DF166" t="s">
        <v>3</v>
      </c>
      <c r="DG166" t="s">
        <v>3</v>
      </c>
      <c r="DH166" t="s">
        <v>3</v>
      </c>
      <c r="DI166" t="s">
        <v>3</v>
      </c>
      <c r="DJ166" t="s">
        <v>3</v>
      </c>
      <c r="DK166" t="s">
        <v>3</v>
      </c>
      <c r="DL166" t="s">
        <v>3</v>
      </c>
      <c r="DM166" t="s">
        <v>3</v>
      </c>
      <c r="DN166">
        <v>0</v>
      </c>
      <c r="DO166">
        <v>0</v>
      </c>
      <c r="DP166">
        <v>1</v>
      </c>
      <c r="DQ166">
        <v>1</v>
      </c>
      <c r="DU166">
        <v>1007</v>
      </c>
      <c r="DV166" t="s">
        <v>30</v>
      </c>
      <c r="DW166" t="s">
        <v>30</v>
      </c>
      <c r="DX166">
        <v>1</v>
      </c>
      <c r="EE166">
        <v>33196057</v>
      </c>
      <c r="EF166">
        <v>160</v>
      </c>
      <c r="EG166" t="s">
        <v>24</v>
      </c>
      <c r="EH166">
        <v>0</v>
      </c>
      <c r="EI166" t="s">
        <v>3</v>
      </c>
      <c r="EJ166">
        <v>1</v>
      </c>
      <c r="EK166">
        <v>1114</v>
      </c>
      <c r="EL166" t="s">
        <v>25</v>
      </c>
      <c r="EM166" t="s">
        <v>26</v>
      </c>
      <c r="EO166" t="s">
        <v>3</v>
      </c>
      <c r="EQ166">
        <v>33024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FQ166">
        <v>0</v>
      </c>
      <c r="FR166">
        <f t="shared" si="169"/>
        <v>0</v>
      </c>
      <c r="FS166">
        <v>0</v>
      </c>
      <c r="FX166">
        <v>0</v>
      </c>
      <c r="FY166">
        <v>0</v>
      </c>
      <c r="GA166" t="s">
        <v>3</v>
      </c>
      <c r="GD166">
        <v>0</v>
      </c>
      <c r="GF166">
        <v>-589967668</v>
      </c>
      <c r="GG166">
        <v>2</v>
      </c>
      <c r="GH166">
        <v>0</v>
      </c>
      <c r="GI166">
        <v>-2</v>
      </c>
      <c r="GJ166">
        <v>0</v>
      </c>
      <c r="GK166">
        <f>ROUND(R166*(R12)/100,2)</f>
        <v>0</v>
      </c>
      <c r="GL166">
        <f t="shared" si="170"/>
        <v>0</v>
      </c>
      <c r="GM166">
        <f t="shared" si="171"/>
        <v>0</v>
      </c>
      <c r="GN166">
        <f t="shared" si="172"/>
        <v>0</v>
      </c>
      <c r="GO166">
        <f t="shared" si="173"/>
        <v>0</v>
      </c>
      <c r="GP166">
        <f t="shared" si="174"/>
        <v>0</v>
      </c>
      <c r="GR166">
        <v>0</v>
      </c>
      <c r="GT166">
        <v>0</v>
      </c>
      <c r="GU166">
        <v>1</v>
      </c>
      <c r="GV166">
        <v>0</v>
      </c>
      <c r="GW166">
        <v>0</v>
      </c>
    </row>
    <row r="167" spans="1:205" x14ac:dyDescent="0.2">
      <c r="A167">
        <v>17</v>
      </c>
      <c r="B167">
        <v>1</v>
      </c>
      <c r="C167">
        <f>ROW(SmtRes!A56)</f>
        <v>56</v>
      </c>
      <c r="E167" t="s">
        <v>227</v>
      </c>
      <c r="F167" t="s">
        <v>187</v>
      </c>
      <c r="G167" t="s">
        <v>188</v>
      </c>
      <c r="H167" t="s">
        <v>189</v>
      </c>
      <c r="I167">
        <v>1</v>
      </c>
      <c r="J167">
        <v>0</v>
      </c>
      <c r="O167">
        <f t="shared" si="144"/>
        <v>312755.46000000002</v>
      </c>
      <c r="P167">
        <f t="shared" si="145"/>
        <v>131978.20000000001</v>
      </c>
      <c r="Q167">
        <f t="shared" si="146"/>
        <v>61688.78</v>
      </c>
      <c r="R167">
        <f t="shared" si="147"/>
        <v>0</v>
      </c>
      <c r="S167">
        <f t="shared" si="148"/>
        <v>119088.48</v>
      </c>
      <c r="T167">
        <f t="shared" si="149"/>
        <v>0</v>
      </c>
      <c r="U167">
        <f t="shared" si="150"/>
        <v>0</v>
      </c>
      <c r="V167">
        <f t="shared" si="151"/>
        <v>0</v>
      </c>
      <c r="W167">
        <f t="shared" si="152"/>
        <v>0</v>
      </c>
      <c r="X167">
        <f t="shared" si="153"/>
        <v>0</v>
      </c>
      <c r="Y167">
        <f t="shared" si="154"/>
        <v>0</v>
      </c>
      <c r="AA167">
        <v>90163004</v>
      </c>
      <c r="AB167">
        <f t="shared" si="155"/>
        <v>41612.300000000003</v>
      </c>
      <c r="AC167">
        <f t="shared" ref="AC167:AC175" si="177">ROUND((ES167),6)</f>
        <v>27212</v>
      </c>
      <c r="AD167">
        <f>ROUND(((ET167*1.15)),6)</f>
        <v>5770.7</v>
      </c>
      <c r="AE167">
        <f>ROUND(((EU167*1.15)),6)</f>
        <v>0</v>
      </c>
      <c r="AF167">
        <f>ROUND(((EV167*1.15)),6)</f>
        <v>8629.6</v>
      </c>
      <c r="AG167">
        <f t="shared" si="156"/>
        <v>0</v>
      </c>
      <c r="AH167">
        <f>((EW167*1.15))</f>
        <v>0</v>
      </c>
      <c r="AI167">
        <f>((EX167*1.15))</f>
        <v>0</v>
      </c>
      <c r="AJ167">
        <f t="shared" si="157"/>
        <v>0</v>
      </c>
      <c r="AK167">
        <v>39734</v>
      </c>
      <c r="AL167">
        <v>27212</v>
      </c>
      <c r="AM167">
        <v>5018</v>
      </c>
      <c r="AN167">
        <v>0</v>
      </c>
      <c r="AO167">
        <v>7504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1</v>
      </c>
      <c r="AW167">
        <v>1</v>
      </c>
      <c r="AZ167">
        <v>1</v>
      </c>
      <c r="BA167">
        <v>13.8</v>
      </c>
      <c r="BB167">
        <v>10.69</v>
      </c>
      <c r="BC167">
        <v>4.8499999999999996</v>
      </c>
      <c r="BD167" t="s">
        <v>3</v>
      </c>
      <c r="BE167" t="s">
        <v>3</v>
      </c>
      <c r="BF167" t="s">
        <v>3</v>
      </c>
      <c r="BG167" t="s">
        <v>3</v>
      </c>
      <c r="BH167">
        <v>0</v>
      </c>
      <c r="BI167">
        <v>1</v>
      </c>
      <c r="BJ167" t="s">
        <v>190</v>
      </c>
      <c r="BM167">
        <v>1114</v>
      </c>
      <c r="BN167">
        <v>0</v>
      </c>
      <c r="BO167" t="s">
        <v>187</v>
      </c>
      <c r="BP167">
        <v>1</v>
      </c>
      <c r="BQ167">
        <v>160</v>
      </c>
      <c r="BR167">
        <v>0</v>
      </c>
      <c r="BS167">
        <v>13.8</v>
      </c>
      <c r="BT167">
        <v>1</v>
      </c>
      <c r="BU167">
        <v>1</v>
      </c>
      <c r="BV167">
        <v>1</v>
      </c>
      <c r="BW167">
        <v>1</v>
      </c>
      <c r="BX167">
        <v>1</v>
      </c>
      <c r="BY167" t="s">
        <v>3</v>
      </c>
      <c r="BZ167">
        <v>0</v>
      </c>
      <c r="CA167">
        <v>0</v>
      </c>
      <c r="CF167">
        <v>0</v>
      </c>
      <c r="CG167">
        <v>0</v>
      </c>
      <c r="CM167">
        <v>0</v>
      </c>
      <c r="CN167" t="s">
        <v>3</v>
      </c>
      <c r="CO167">
        <v>0</v>
      </c>
      <c r="CP167">
        <f t="shared" si="158"/>
        <v>312755.46000000002</v>
      </c>
      <c r="CQ167">
        <f t="shared" si="159"/>
        <v>131978.19999999998</v>
      </c>
      <c r="CR167">
        <f t="shared" si="160"/>
        <v>61688.782999999996</v>
      </c>
      <c r="CS167">
        <f t="shared" si="161"/>
        <v>0</v>
      </c>
      <c r="CT167">
        <f t="shared" si="162"/>
        <v>119088.48000000001</v>
      </c>
      <c r="CU167">
        <f t="shared" si="163"/>
        <v>0</v>
      </c>
      <c r="CV167">
        <f t="shared" si="164"/>
        <v>0</v>
      </c>
      <c r="CW167">
        <f t="shared" si="165"/>
        <v>0</v>
      </c>
      <c r="CX167">
        <f t="shared" si="166"/>
        <v>0</v>
      </c>
      <c r="CY167">
        <f t="shared" si="167"/>
        <v>0</v>
      </c>
      <c r="CZ167">
        <f t="shared" si="168"/>
        <v>0</v>
      </c>
      <c r="DC167" t="s">
        <v>3</v>
      </c>
      <c r="DD167" t="s">
        <v>3</v>
      </c>
      <c r="DE167" t="s">
        <v>47</v>
      </c>
      <c r="DF167" t="s">
        <v>47</v>
      </c>
      <c r="DG167" t="s">
        <v>47</v>
      </c>
      <c r="DH167" t="s">
        <v>3</v>
      </c>
      <c r="DI167" t="s">
        <v>47</v>
      </c>
      <c r="DJ167" t="s">
        <v>47</v>
      </c>
      <c r="DK167" t="s">
        <v>3</v>
      </c>
      <c r="DL167" t="s">
        <v>3</v>
      </c>
      <c r="DM167" t="s">
        <v>3</v>
      </c>
      <c r="DN167">
        <v>0</v>
      </c>
      <c r="DO167">
        <v>0</v>
      </c>
      <c r="DP167">
        <v>1</v>
      </c>
      <c r="DQ167">
        <v>1</v>
      </c>
      <c r="DU167">
        <v>1013</v>
      </c>
      <c r="DV167" t="s">
        <v>189</v>
      </c>
      <c r="DW167" t="s">
        <v>189</v>
      </c>
      <c r="DX167">
        <v>1</v>
      </c>
      <c r="EE167">
        <v>33196057</v>
      </c>
      <c r="EF167">
        <v>160</v>
      </c>
      <c r="EG167" t="s">
        <v>24</v>
      </c>
      <c r="EH167">
        <v>0</v>
      </c>
      <c r="EI167" t="s">
        <v>3</v>
      </c>
      <c r="EJ167">
        <v>1</v>
      </c>
      <c r="EK167">
        <v>1114</v>
      </c>
      <c r="EL167" t="s">
        <v>25</v>
      </c>
      <c r="EM167" t="s">
        <v>26</v>
      </c>
      <c r="EO167" t="s">
        <v>3</v>
      </c>
      <c r="EQ167">
        <v>0</v>
      </c>
      <c r="ER167">
        <v>39734</v>
      </c>
      <c r="ES167">
        <v>27212</v>
      </c>
      <c r="ET167">
        <v>5018</v>
      </c>
      <c r="EU167">
        <v>0</v>
      </c>
      <c r="EV167">
        <v>7504</v>
      </c>
      <c r="EW167">
        <v>0</v>
      </c>
      <c r="EX167">
        <v>0</v>
      </c>
      <c r="EY167">
        <v>0</v>
      </c>
      <c r="FQ167">
        <v>0</v>
      </c>
      <c r="FR167">
        <f t="shared" si="169"/>
        <v>0</v>
      </c>
      <c r="FS167">
        <v>0</v>
      </c>
      <c r="FX167">
        <v>0</v>
      </c>
      <c r="FY167">
        <v>0</v>
      </c>
      <c r="GA167" t="s">
        <v>3</v>
      </c>
      <c r="GD167">
        <v>0</v>
      </c>
      <c r="GF167">
        <v>994366532</v>
      </c>
      <c r="GG167">
        <v>2</v>
      </c>
      <c r="GH167">
        <v>1</v>
      </c>
      <c r="GI167">
        <v>2</v>
      </c>
      <c r="GJ167">
        <v>0</v>
      </c>
      <c r="GK167">
        <f>ROUND(R167*(R12)/100,2)</f>
        <v>0</v>
      </c>
      <c r="GL167">
        <f t="shared" si="170"/>
        <v>0</v>
      </c>
      <c r="GM167">
        <f t="shared" si="171"/>
        <v>312755.46000000002</v>
      </c>
      <c r="GN167">
        <f t="shared" si="172"/>
        <v>312755.46000000002</v>
      </c>
      <c r="GO167">
        <f t="shared" si="173"/>
        <v>0</v>
      </c>
      <c r="GP167">
        <f t="shared" si="174"/>
        <v>0</v>
      </c>
      <c r="GR167">
        <v>0</v>
      </c>
      <c r="GT167">
        <v>0</v>
      </c>
      <c r="GU167">
        <v>1</v>
      </c>
      <c r="GV167">
        <v>0</v>
      </c>
      <c r="GW167">
        <v>0</v>
      </c>
    </row>
    <row r="168" spans="1:205" x14ac:dyDescent="0.2">
      <c r="A168">
        <v>18</v>
      </c>
      <c r="B168">
        <v>1</v>
      </c>
      <c r="C168">
        <v>56</v>
      </c>
      <c r="E168" t="s">
        <v>228</v>
      </c>
      <c r="F168" t="s">
        <v>229</v>
      </c>
      <c r="G168" t="s">
        <v>230</v>
      </c>
      <c r="H168" t="s">
        <v>231</v>
      </c>
      <c r="I168">
        <f>I167*J168</f>
        <v>2</v>
      </c>
      <c r="J168">
        <v>2</v>
      </c>
      <c r="O168">
        <f t="shared" si="144"/>
        <v>94388.08</v>
      </c>
      <c r="P168">
        <f t="shared" si="145"/>
        <v>94388.08</v>
      </c>
      <c r="Q168">
        <f t="shared" si="146"/>
        <v>0</v>
      </c>
      <c r="R168">
        <f t="shared" si="147"/>
        <v>0</v>
      </c>
      <c r="S168">
        <f t="shared" si="148"/>
        <v>0</v>
      </c>
      <c r="T168">
        <f t="shared" si="149"/>
        <v>0</v>
      </c>
      <c r="U168">
        <f t="shared" si="150"/>
        <v>0</v>
      </c>
      <c r="V168">
        <f t="shared" si="151"/>
        <v>0</v>
      </c>
      <c r="W168">
        <f t="shared" si="152"/>
        <v>0</v>
      </c>
      <c r="X168">
        <f t="shared" si="153"/>
        <v>0</v>
      </c>
      <c r="Y168">
        <f t="shared" si="154"/>
        <v>0</v>
      </c>
      <c r="AA168">
        <v>90163004</v>
      </c>
      <c r="AB168">
        <f t="shared" si="155"/>
        <v>11130.67</v>
      </c>
      <c r="AC168">
        <f t="shared" si="177"/>
        <v>11130.67</v>
      </c>
      <c r="AD168">
        <f>ROUND((ET168),6)</f>
        <v>0</v>
      </c>
      <c r="AE168">
        <f>ROUND((EU168),6)</f>
        <v>0</v>
      </c>
      <c r="AF168">
        <f>ROUND((EV168),6)</f>
        <v>0</v>
      </c>
      <c r="AG168">
        <f t="shared" si="156"/>
        <v>0</v>
      </c>
      <c r="AH168">
        <f>(EW168)</f>
        <v>0</v>
      </c>
      <c r="AI168">
        <f>(EX168)</f>
        <v>0</v>
      </c>
      <c r="AJ168">
        <f t="shared" si="157"/>
        <v>0</v>
      </c>
      <c r="AK168">
        <v>11130.67</v>
      </c>
      <c r="AL168">
        <v>11130.67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1</v>
      </c>
      <c r="AW168">
        <v>1</v>
      </c>
      <c r="AZ168">
        <v>1</v>
      </c>
      <c r="BA168">
        <v>1</v>
      </c>
      <c r="BB168">
        <v>1</v>
      </c>
      <c r="BC168">
        <v>4.24</v>
      </c>
      <c r="BD168" t="s">
        <v>3</v>
      </c>
      <c r="BE168" t="s">
        <v>3</v>
      </c>
      <c r="BF168" t="s">
        <v>3</v>
      </c>
      <c r="BG168" t="s">
        <v>3</v>
      </c>
      <c r="BH168">
        <v>3</v>
      </c>
      <c r="BI168">
        <v>3</v>
      </c>
      <c r="BJ168" t="s">
        <v>3</v>
      </c>
      <c r="BM168">
        <v>746</v>
      </c>
      <c r="BN168">
        <v>0</v>
      </c>
      <c r="BO168" t="s">
        <v>3</v>
      </c>
      <c r="BP168">
        <v>0</v>
      </c>
      <c r="BQ168">
        <v>130</v>
      </c>
      <c r="BR168">
        <v>0</v>
      </c>
      <c r="BS168">
        <v>1</v>
      </c>
      <c r="BT168">
        <v>1</v>
      </c>
      <c r="BU168">
        <v>1</v>
      </c>
      <c r="BV168">
        <v>1</v>
      </c>
      <c r="BW168">
        <v>1</v>
      </c>
      <c r="BX168">
        <v>1</v>
      </c>
      <c r="BY168" t="s">
        <v>3</v>
      </c>
      <c r="BZ168">
        <v>0</v>
      </c>
      <c r="CA168">
        <v>0</v>
      </c>
      <c r="CF168">
        <v>0</v>
      </c>
      <c r="CG168">
        <v>0</v>
      </c>
      <c r="CM168">
        <v>0</v>
      </c>
      <c r="CN168" t="s">
        <v>3</v>
      </c>
      <c r="CO168">
        <v>0</v>
      </c>
      <c r="CP168">
        <f t="shared" si="158"/>
        <v>94388.08</v>
      </c>
      <c r="CQ168">
        <f t="shared" si="159"/>
        <v>47194.040800000002</v>
      </c>
      <c r="CR168">
        <f t="shared" si="160"/>
        <v>0</v>
      </c>
      <c r="CS168">
        <f t="shared" si="161"/>
        <v>0</v>
      </c>
      <c r="CT168">
        <f t="shared" si="162"/>
        <v>0</v>
      </c>
      <c r="CU168">
        <f t="shared" si="163"/>
        <v>0</v>
      </c>
      <c r="CV168">
        <f t="shared" si="164"/>
        <v>0</v>
      </c>
      <c r="CW168">
        <f t="shared" si="165"/>
        <v>0</v>
      </c>
      <c r="CX168">
        <f t="shared" si="166"/>
        <v>0</v>
      </c>
      <c r="CY168">
        <f t="shared" si="167"/>
        <v>0</v>
      </c>
      <c r="CZ168">
        <f t="shared" si="168"/>
        <v>0</v>
      </c>
      <c r="DC168" t="s">
        <v>3</v>
      </c>
      <c r="DD168" t="s">
        <v>3</v>
      </c>
      <c r="DE168" t="s">
        <v>3</v>
      </c>
      <c r="DF168" t="s">
        <v>3</v>
      </c>
      <c r="DG168" t="s">
        <v>3</v>
      </c>
      <c r="DH168" t="s">
        <v>3</v>
      </c>
      <c r="DI168" t="s">
        <v>3</v>
      </c>
      <c r="DJ168" t="s">
        <v>3</v>
      </c>
      <c r="DK168" t="s">
        <v>3</v>
      </c>
      <c r="DL168" t="s">
        <v>3</v>
      </c>
      <c r="DM168" t="s">
        <v>3</v>
      </c>
      <c r="DN168">
        <v>0</v>
      </c>
      <c r="DO168">
        <v>0</v>
      </c>
      <c r="DP168">
        <v>1</v>
      </c>
      <c r="DQ168">
        <v>1</v>
      </c>
      <c r="DU168">
        <v>1013</v>
      </c>
      <c r="DV168" t="s">
        <v>231</v>
      </c>
      <c r="DW168" t="s">
        <v>231</v>
      </c>
      <c r="DX168">
        <v>1</v>
      </c>
      <c r="EE168">
        <v>33195580</v>
      </c>
      <c r="EF168">
        <v>130</v>
      </c>
      <c r="EG168" t="s">
        <v>232</v>
      </c>
      <c r="EH168">
        <v>0</v>
      </c>
      <c r="EI168" t="s">
        <v>3</v>
      </c>
      <c r="EJ168">
        <v>3</v>
      </c>
      <c r="EK168">
        <v>746</v>
      </c>
      <c r="EL168" t="s">
        <v>233</v>
      </c>
      <c r="EM168" t="s">
        <v>234</v>
      </c>
      <c r="EO168" t="s">
        <v>3</v>
      </c>
      <c r="EQ168">
        <v>0</v>
      </c>
      <c r="ER168">
        <v>11130.67</v>
      </c>
      <c r="ES168">
        <v>11130.67</v>
      </c>
      <c r="ET168">
        <v>0</v>
      </c>
      <c r="EU168">
        <v>0</v>
      </c>
      <c r="EV168">
        <v>0</v>
      </c>
      <c r="EW168">
        <v>0</v>
      </c>
      <c r="EX168">
        <v>0</v>
      </c>
      <c r="EZ168">
        <v>5</v>
      </c>
      <c r="FC168">
        <v>0</v>
      </c>
      <c r="FD168">
        <v>18</v>
      </c>
      <c r="FF168">
        <v>35840.769999999997</v>
      </c>
      <c r="FQ168">
        <v>0</v>
      </c>
      <c r="FR168">
        <f t="shared" si="169"/>
        <v>94388.08</v>
      </c>
      <c r="FS168">
        <v>0</v>
      </c>
      <c r="FX168">
        <v>0</v>
      </c>
      <c r="FY168">
        <v>0</v>
      </c>
      <c r="GA168" t="s">
        <v>235</v>
      </c>
      <c r="GD168">
        <v>0</v>
      </c>
      <c r="GF168">
        <v>-1191170248</v>
      </c>
      <c r="GG168">
        <v>2</v>
      </c>
      <c r="GH168">
        <v>3</v>
      </c>
      <c r="GI168">
        <v>3</v>
      </c>
      <c r="GJ168">
        <v>0</v>
      </c>
      <c r="GK168">
        <f>ROUND(R168*(R12)/100,2)</f>
        <v>0</v>
      </c>
      <c r="GL168">
        <f t="shared" si="170"/>
        <v>0</v>
      </c>
      <c r="GM168">
        <f t="shared" si="171"/>
        <v>94388.08</v>
      </c>
      <c r="GN168">
        <f t="shared" si="172"/>
        <v>0</v>
      </c>
      <c r="GO168">
        <f t="shared" si="173"/>
        <v>0</v>
      </c>
      <c r="GP168">
        <f t="shared" si="174"/>
        <v>0</v>
      </c>
      <c r="GR168">
        <v>0</v>
      </c>
      <c r="GT168">
        <v>0</v>
      </c>
      <c r="GU168">
        <v>1</v>
      </c>
      <c r="GV168">
        <v>0</v>
      </c>
      <c r="GW168">
        <v>0</v>
      </c>
    </row>
    <row r="169" spans="1:205" x14ac:dyDescent="0.2">
      <c r="A169">
        <v>17</v>
      </c>
      <c r="B169">
        <v>1</v>
      </c>
      <c r="C169">
        <f>ROW(SmtRes!A57)</f>
        <v>57</v>
      </c>
      <c r="D169">
        <f>ROW(EtalonRes!A52)</f>
        <v>52</v>
      </c>
      <c r="E169" t="s">
        <v>236</v>
      </c>
      <c r="F169" t="s">
        <v>149</v>
      </c>
      <c r="G169" t="s">
        <v>150</v>
      </c>
      <c r="H169" t="s">
        <v>151</v>
      </c>
      <c r="I169">
        <f>ROUND(((4.2+4.2)*2+(3.2+3.2))*2*5,9)</f>
        <v>232</v>
      </c>
      <c r="J169">
        <v>0</v>
      </c>
      <c r="O169">
        <f t="shared" si="144"/>
        <v>358931.38</v>
      </c>
      <c r="P169">
        <f t="shared" si="145"/>
        <v>127903.92</v>
      </c>
      <c r="Q169">
        <f t="shared" si="146"/>
        <v>62351.16</v>
      </c>
      <c r="R169">
        <f t="shared" si="147"/>
        <v>0</v>
      </c>
      <c r="S169">
        <f t="shared" si="148"/>
        <v>168676.3</v>
      </c>
      <c r="T169">
        <f t="shared" si="149"/>
        <v>0</v>
      </c>
      <c r="U169">
        <f t="shared" si="150"/>
        <v>0</v>
      </c>
      <c r="V169">
        <f t="shared" si="151"/>
        <v>0</v>
      </c>
      <c r="W169">
        <f t="shared" si="152"/>
        <v>46.4</v>
      </c>
      <c r="X169">
        <f t="shared" si="153"/>
        <v>0</v>
      </c>
      <c r="Y169">
        <f t="shared" si="154"/>
        <v>0</v>
      </c>
      <c r="AA169">
        <v>90163004</v>
      </c>
      <c r="AB169">
        <f t="shared" si="155"/>
        <v>150.65</v>
      </c>
      <c r="AC169">
        <f t="shared" si="177"/>
        <v>69</v>
      </c>
      <c r="AD169">
        <f>ROUND(((ET169*1.15)),6)</f>
        <v>34.5</v>
      </c>
      <c r="AE169">
        <f>ROUND(((EU169*1.15)),6)</f>
        <v>0</v>
      </c>
      <c r="AF169">
        <f>ROUND(((EV169*1.15)),6)</f>
        <v>47.15</v>
      </c>
      <c r="AG169">
        <f t="shared" si="156"/>
        <v>0</v>
      </c>
      <c r="AH169">
        <f>((EW169*1.15))</f>
        <v>0</v>
      </c>
      <c r="AI169">
        <f>((EX169*1.15))</f>
        <v>0</v>
      </c>
      <c r="AJ169">
        <f t="shared" si="157"/>
        <v>0.2</v>
      </c>
      <c r="AK169">
        <v>140</v>
      </c>
      <c r="AL169">
        <v>69</v>
      </c>
      <c r="AM169">
        <v>30</v>
      </c>
      <c r="AN169">
        <v>0</v>
      </c>
      <c r="AO169">
        <v>41</v>
      </c>
      <c r="AP169">
        <v>0</v>
      </c>
      <c r="AQ169">
        <v>0</v>
      </c>
      <c r="AR169">
        <v>0</v>
      </c>
      <c r="AS169">
        <v>0.2</v>
      </c>
      <c r="AT169">
        <v>0</v>
      </c>
      <c r="AU169">
        <v>0</v>
      </c>
      <c r="AV169">
        <v>1</v>
      </c>
      <c r="AW169">
        <v>1</v>
      </c>
      <c r="AZ169">
        <v>1</v>
      </c>
      <c r="BA169">
        <v>15.42</v>
      </c>
      <c r="BB169">
        <v>7.79</v>
      </c>
      <c r="BC169">
        <v>7.99</v>
      </c>
      <c r="BD169" t="s">
        <v>3</v>
      </c>
      <c r="BE169" t="s">
        <v>3</v>
      </c>
      <c r="BF169" t="s">
        <v>3</v>
      </c>
      <c r="BG169" t="s">
        <v>3</v>
      </c>
      <c r="BH169">
        <v>0</v>
      </c>
      <c r="BI169">
        <v>1</v>
      </c>
      <c r="BJ169" t="s">
        <v>152</v>
      </c>
      <c r="BM169">
        <v>1114</v>
      </c>
      <c r="BN169">
        <v>0</v>
      </c>
      <c r="BO169" t="s">
        <v>149</v>
      </c>
      <c r="BP169">
        <v>1</v>
      </c>
      <c r="BQ169">
        <v>160</v>
      </c>
      <c r="BR169">
        <v>0</v>
      </c>
      <c r="BS169">
        <v>15.42</v>
      </c>
      <c r="BT169">
        <v>1</v>
      </c>
      <c r="BU169">
        <v>1</v>
      </c>
      <c r="BV169">
        <v>1</v>
      </c>
      <c r="BW169">
        <v>1</v>
      </c>
      <c r="BX169">
        <v>1</v>
      </c>
      <c r="BY169" t="s">
        <v>3</v>
      </c>
      <c r="BZ169">
        <v>0</v>
      </c>
      <c r="CA169">
        <v>0</v>
      </c>
      <c r="CF169">
        <v>0</v>
      </c>
      <c r="CG169">
        <v>0</v>
      </c>
      <c r="CM169">
        <v>0</v>
      </c>
      <c r="CN169" t="s">
        <v>3</v>
      </c>
      <c r="CO169">
        <v>0</v>
      </c>
      <c r="CP169">
        <f t="shared" si="158"/>
        <v>358931.38</v>
      </c>
      <c r="CQ169">
        <f t="shared" si="159"/>
        <v>551.31000000000006</v>
      </c>
      <c r="CR169">
        <f t="shared" si="160"/>
        <v>268.755</v>
      </c>
      <c r="CS169">
        <f t="shared" si="161"/>
        <v>0</v>
      </c>
      <c r="CT169">
        <f t="shared" si="162"/>
        <v>727.053</v>
      </c>
      <c r="CU169">
        <f t="shared" si="163"/>
        <v>0</v>
      </c>
      <c r="CV169">
        <f t="shared" si="164"/>
        <v>0</v>
      </c>
      <c r="CW169">
        <f t="shared" si="165"/>
        <v>0</v>
      </c>
      <c r="CX169">
        <f t="shared" si="166"/>
        <v>0.2</v>
      </c>
      <c r="CY169">
        <f t="shared" si="167"/>
        <v>0</v>
      </c>
      <c r="CZ169">
        <f t="shared" si="168"/>
        <v>0</v>
      </c>
      <c r="DC169" t="s">
        <v>3</v>
      </c>
      <c r="DD169" t="s">
        <v>3</v>
      </c>
      <c r="DE169" t="s">
        <v>47</v>
      </c>
      <c r="DF169" t="s">
        <v>47</v>
      </c>
      <c r="DG169" t="s">
        <v>47</v>
      </c>
      <c r="DH169" t="s">
        <v>3</v>
      </c>
      <c r="DI169" t="s">
        <v>47</v>
      </c>
      <c r="DJ169" t="s">
        <v>47</v>
      </c>
      <c r="DK169" t="s">
        <v>3</v>
      </c>
      <c r="DL169" t="s">
        <v>3</v>
      </c>
      <c r="DM169" t="s">
        <v>3</v>
      </c>
      <c r="DN169">
        <v>0</v>
      </c>
      <c r="DO169">
        <v>0</v>
      </c>
      <c r="DP169">
        <v>1</v>
      </c>
      <c r="DQ169">
        <v>1</v>
      </c>
      <c r="DU169">
        <v>1005</v>
      </c>
      <c r="DV169" t="s">
        <v>151</v>
      </c>
      <c r="DW169" t="s">
        <v>151</v>
      </c>
      <c r="DX169">
        <v>1</v>
      </c>
      <c r="EE169">
        <v>33196057</v>
      </c>
      <c r="EF169">
        <v>160</v>
      </c>
      <c r="EG169" t="s">
        <v>24</v>
      </c>
      <c r="EH169">
        <v>0</v>
      </c>
      <c r="EI169" t="s">
        <v>3</v>
      </c>
      <c r="EJ169">
        <v>1</v>
      </c>
      <c r="EK169">
        <v>1114</v>
      </c>
      <c r="EL169" t="s">
        <v>25</v>
      </c>
      <c r="EM169" t="s">
        <v>26</v>
      </c>
      <c r="EO169" t="s">
        <v>3</v>
      </c>
      <c r="EQ169">
        <v>0</v>
      </c>
      <c r="ER169">
        <v>140</v>
      </c>
      <c r="ES169">
        <v>69</v>
      </c>
      <c r="ET169">
        <v>30</v>
      </c>
      <c r="EU169">
        <v>0</v>
      </c>
      <c r="EV169">
        <v>41</v>
      </c>
      <c r="EW169">
        <v>0</v>
      </c>
      <c r="EX169">
        <v>0</v>
      </c>
      <c r="EY169">
        <v>0</v>
      </c>
      <c r="FQ169">
        <v>0</v>
      </c>
      <c r="FR169">
        <f t="shared" si="169"/>
        <v>0</v>
      </c>
      <c r="FS169">
        <v>0</v>
      </c>
      <c r="FX169">
        <v>0</v>
      </c>
      <c r="FY169">
        <v>0</v>
      </c>
      <c r="GA169" t="s">
        <v>3</v>
      </c>
      <c r="GD169">
        <v>0</v>
      </c>
      <c r="GF169">
        <v>-1225497977</v>
      </c>
      <c r="GG169">
        <v>2</v>
      </c>
      <c r="GH169">
        <v>1</v>
      </c>
      <c r="GI169">
        <v>2</v>
      </c>
      <c r="GJ169">
        <v>0</v>
      </c>
      <c r="GK169">
        <f>ROUND(R169*(R12)/100,2)</f>
        <v>0</v>
      </c>
      <c r="GL169">
        <f t="shared" si="170"/>
        <v>0</v>
      </c>
      <c r="GM169">
        <f t="shared" si="171"/>
        <v>358931.38</v>
      </c>
      <c r="GN169">
        <f t="shared" si="172"/>
        <v>358931.38</v>
      </c>
      <c r="GO169">
        <f t="shared" si="173"/>
        <v>0</v>
      </c>
      <c r="GP169">
        <f t="shared" si="174"/>
        <v>0</v>
      </c>
      <c r="GR169">
        <v>0</v>
      </c>
      <c r="GT169">
        <v>0</v>
      </c>
      <c r="GU169">
        <v>1</v>
      </c>
      <c r="GV169">
        <v>-0.2</v>
      </c>
      <c r="GW169">
        <v>0</v>
      </c>
    </row>
    <row r="170" spans="1:205" x14ac:dyDescent="0.2">
      <c r="A170">
        <v>18</v>
      </c>
      <c r="B170">
        <v>1</v>
      </c>
      <c r="C170">
        <v>57</v>
      </c>
      <c r="E170" t="s">
        <v>237</v>
      </c>
      <c r="F170" t="s">
        <v>37</v>
      </c>
      <c r="G170" t="s">
        <v>41</v>
      </c>
      <c r="H170" t="s">
        <v>30</v>
      </c>
      <c r="I170">
        <f>I169*J170</f>
        <v>-46.4</v>
      </c>
      <c r="J170">
        <v>-0.19999999999999998</v>
      </c>
      <c r="O170">
        <f t="shared" si="144"/>
        <v>0</v>
      </c>
      <c r="P170">
        <f t="shared" si="145"/>
        <v>0</v>
      </c>
      <c r="Q170">
        <f t="shared" si="146"/>
        <v>0</v>
      </c>
      <c r="R170">
        <f t="shared" si="147"/>
        <v>0</v>
      </c>
      <c r="S170">
        <f t="shared" si="148"/>
        <v>0</v>
      </c>
      <c r="T170">
        <f t="shared" si="149"/>
        <v>0</v>
      </c>
      <c r="U170">
        <f t="shared" si="150"/>
        <v>0</v>
      </c>
      <c r="V170">
        <f t="shared" si="151"/>
        <v>0</v>
      </c>
      <c r="W170">
        <f t="shared" si="152"/>
        <v>0</v>
      </c>
      <c r="X170">
        <f t="shared" si="153"/>
        <v>0</v>
      </c>
      <c r="Y170">
        <f t="shared" si="154"/>
        <v>0</v>
      </c>
      <c r="AA170">
        <v>90163004</v>
      </c>
      <c r="AB170">
        <f t="shared" si="155"/>
        <v>0</v>
      </c>
      <c r="AC170">
        <f t="shared" si="177"/>
        <v>0</v>
      </c>
      <c r="AD170">
        <f t="shared" ref="AD170:AF175" si="178">ROUND((ET170),6)</f>
        <v>0</v>
      </c>
      <c r="AE170">
        <f t="shared" si="178"/>
        <v>0</v>
      </c>
      <c r="AF170">
        <f t="shared" si="178"/>
        <v>0</v>
      </c>
      <c r="AG170">
        <f t="shared" si="156"/>
        <v>0</v>
      </c>
      <c r="AH170">
        <f t="shared" ref="AH170:AI175" si="179">(EW170)</f>
        <v>0</v>
      </c>
      <c r="AI170">
        <f t="shared" si="179"/>
        <v>0</v>
      </c>
      <c r="AJ170">
        <f t="shared" si="157"/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1</v>
      </c>
      <c r="AW170">
        <v>1</v>
      </c>
      <c r="AZ170">
        <v>1</v>
      </c>
      <c r="BA170">
        <v>1</v>
      </c>
      <c r="BB170">
        <v>1</v>
      </c>
      <c r="BC170">
        <v>1</v>
      </c>
      <c r="BD170" t="s">
        <v>3</v>
      </c>
      <c r="BE170" t="s">
        <v>3</v>
      </c>
      <c r="BF170" t="s">
        <v>3</v>
      </c>
      <c r="BG170" t="s">
        <v>3</v>
      </c>
      <c r="BH170">
        <v>3</v>
      </c>
      <c r="BI170">
        <v>1</v>
      </c>
      <c r="BJ170" t="s">
        <v>3</v>
      </c>
      <c r="BM170">
        <v>1114</v>
      </c>
      <c r="BN170">
        <v>0</v>
      </c>
      <c r="BO170" t="s">
        <v>3</v>
      </c>
      <c r="BP170">
        <v>0</v>
      </c>
      <c r="BQ170">
        <v>160</v>
      </c>
      <c r="BR170">
        <v>1</v>
      </c>
      <c r="BS170">
        <v>1</v>
      </c>
      <c r="BT170">
        <v>1</v>
      </c>
      <c r="BU170">
        <v>1</v>
      </c>
      <c r="BV170">
        <v>1</v>
      </c>
      <c r="BW170">
        <v>1</v>
      </c>
      <c r="BX170">
        <v>1</v>
      </c>
      <c r="BY170" t="s">
        <v>3</v>
      </c>
      <c r="BZ170">
        <v>0</v>
      </c>
      <c r="CA170">
        <v>0</v>
      </c>
      <c r="CF170">
        <v>0</v>
      </c>
      <c r="CG170">
        <v>0</v>
      </c>
      <c r="CM170">
        <v>0</v>
      </c>
      <c r="CN170" t="s">
        <v>3</v>
      </c>
      <c r="CO170">
        <v>0</v>
      </c>
      <c r="CP170">
        <f t="shared" si="158"/>
        <v>0</v>
      </c>
      <c r="CQ170">
        <f t="shared" si="159"/>
        <v>0</v>
      </c>
      <c r="CR170">
        <f t="shared" si="160"/>
        <v>0</v>
      </c>
      <c r="CS170">
        <f t="shared" si="161"/>
        <v>0</v>
      </c>
      <c r="CT170">
        <f t="shared" si="162"/>
        <v>0</v>
      </c>
      <c r="CU170">
        <f t="shared" si="163"/>
        <v>0</v>
      </c>
      <c r="CV170">
        <f t="shared" si="164"/>
        <v>0</v>
      </c>
      <c r="CW170">
        <f t="shared" si="165"/>
        <v>0</v>
      </c>
      <c r="CX170">
        <f t="shared" si="166"/>
        <v>0</v>
      </c>
      <c r="CY170">
        <f t="shared" si="167"/>
        <v>0</v>
      </c>
      <c r="CZ170">
        <f t="shared" si="168"/>
        <v>0</v>
      </c>
      <c r="DC170" t="s">
        <v>3</v>
      </c>
      <c r="DD170" t="s">
        <v>3</v>
      </c>
      <c r="DE170" t="s">
        <v>3</v>
      </c>
      <c r="DF170" t="s">
        <v>3</v>
      </c>
      <c r="DG170" t="s">
        <v>3</v>
      </c>
      <c r="DH170" t="s">
        <v>3</v>
      </c>
      <c r="DI170" t="s">
        <v>3</v>
      </c>
      <c r="DJ170" t="s">
        <v>3</v>
      </c>
      <c r="DK170" t="s">
        <v>3</v>
      </c>
      <c r="DL170" t="s">
        <v>3</v>
      </c>
      <c r="DM170" t="s">
        <v>3</v>
      </c>
      <c r="DN170">
        <v>0</v>
      </c>
      <c r="DO170">
        <v>0</v>
      </c>
      <c r="DP170">
        <v>1</v>
      </c>
      <c r="DQ170">
        <v>1</v>
      </c>
      <c r="DU170">
        <v>1007</v>
      </c>
      <c r="DV170" t="s">
        <v>30</v>
      </c>
      <c r="DW170" t="s">
        <v>30</v>
      </c>
      <c r="DX170">
        <v>1</v>
      </c>
      <c r="EE170">
        <v>33196057</v>
      </c>
      <c r="EF170">
        <v>160</v>
      </c>
      <c r="EG170" t="s">
        <v>24</v>
      </c>
      <c r="EH170">
        <v>0</v>
      </c>
      <c r="EI170" t="s">
        <v>3</v>
      </c>
      <c r="EJ170">
        <v>1</v>
      </c>
      <c r="EK170">
        <v>1114</v>
      </c>
      <c r="EL170" t="s">
        <v>25</v>
      </c>
      <c r="EM170" t="s">
        <v>26</v>
      </c>
      <c r="EO170" t="s">
        <v>3</v>
      </c>
      <c r="EQ170">
        <v>32768</v>
      </c>
      <c r="ER170">
        <v>0</v>
      </c>
      <c r="ES170">
        <v>0</v>
      </c>
      <c r="ET170">
        <v>0</v>
      </c>
      <c r="EU170">
        <v>0</v>
      </c>
      <c r="EV170">
        <v>0</v>
      </c>
      <c r="EW170">
        <v>0</v>
      </c>
      <c r="EX170">
        <v>0</v>
      </c>
      <c r="FQ170">
        <v>0</v>
      </c>
      <c r="FR170">
        <f t="shared" si="169"/>
        <v>0</v>
      </c>
      <c r="FS170">
        <v>0</v>
      </c>
      <c r="FX170">
        <v>0</v>
      </c>
      <c r="FY170">
        <v>0</v>
      </c>
      <c r="GA170" t="s">
        <v>3</v>
      </c>
      <c r="GD170">
        <v>0</v>
      </c>
      <c r="GF170">
        <v>-589967668</v>
      </c>
      <c r="GG170">
        <v>2</v>
      </c>
      <c r="GH170">
        <v>0</v>
      </c>
      <c r="GI170">
        <v>-2</v>
      </c>
      <c r="GJ170">
        <v>0</v>
      </c>
      <c r="GK170">
        <f>ROUND(R170*(R12)/100,2)</f>
        <v>0</v>
      </c>
      <c r="GL170">
        <f t="shared" si="170"/>
        <v>0</v>
      </c>
      <c r="GM170">
        <f t="shared" si="171"/>
        <v>0</v>
      </c>
      <c r="GN170">
        <f t="shared" si="172"/>
        <v>0</v>
      </c>
      <c r="GO170">
        <f t="shared" si="173"/>
        <v>0</v>
      </c>
      <c r="GP170">
        <f t="shared" si="174"/>
        <v>0</v>
      </c>
      <c r="GR170">
        <v>0</v>
      </c>
      <c r="GT170">
        <v>0</v>
      </c>
      <c r="GU170">
        <v>1</v>
      </c>
      <c r="GV170">
        <v>0</v>
      </c>
      <c r="GW170">
        <v>0</v>
      </c>
    </row>
    <row r="171" spans="1:205" x14ac:dyDescent="0.2">
      <c r="A171">
        <v>17</v>
      </c>
      <c r="B171">
        <v>1</v>
      </c>
      <c r="C171">
        <f>ROW(SmtRes!A60)</f>
        <v>60</v>
      </c>
      <c r="D171">
        <f>ROW(EtalonRes!A55)</f>
        <v>55</v>
      </c>
      <c r="E171" t="s">
        <v>238</v>
      </c>
      <c r="F171" t="s">
        <v>61</v>
      </c>
      <c r="G171" t="s">
        <v>62</v>
      </c>
      <c r="H171" t="s">
        <v>63</v>
      </c>
      <c r="I171">
        <f>ROUND((46.4+16.775+30.866)/100,9)</f>
        <v>0.94040999999999997</v>
      </c>
      <c r="J171">
        <v>0</v>
      </c>
      <c r="O171">
        <f t="shared" si="144"/>
        <v>6636.4</v>
      </c>
      <c r="P171">
        <f t="shared" si="145"/>
        <v>0</v>
      </c>
      <c r="Q171">
        <f t="shared" si="146"/>
        <v>6360.43</v>
      </c>
      <c r="R171">
        <f t="shared" si="147"/>
        <v>2749.49</v>
      </c>
      <c r="S171">
        <f t="shared" si="148"/>
        <v>275.97000000000003</v>
      </c>
      <c r="T171">
        <f t="shared" si="149"/>
        <v>0</v>
      </c>
      <c r="U171">
        <f t="shared" si="150"/>
        <v>1.5469368335999998</v>
      </c>
      <c r="V171">
        <f t="shared" si="151"/>
        <v>0</v>
      </c>
      <c r="W171">
        <f t="shared" si="152"/>
        <v>0</v>
      </c>
      <c r="X171">
        <f t="shared" si="153"/>
        <v>267.69</v>
      </c>
      <c r="Y171">
        <f t="shared" si="154"/>
        <v>149.02000000000001</v>
      </c>
      <c r="AA171">
        <v>90163004</v>
      </c>
      <c r="AB171">
        <f t="shared" si="155"/>
        <v>771.65</v>
      </c>
      <c r="AC171">
        <f t="shared" si="177"/>
        <v>0</v>
      </c>
      <c r="AD171">
        <f t="shared" si="178"/>
        <v>757.55</v>
      </c>
      <c r="AE171">
        <f t="shared" si="178"/>
        <v>140.47999999999999</v>
      </c>
      <c r="AF171">
        <f t="shared" si="178"/>
        <v>14.1</v>
      </c>
      <c r="AG171">
        <f t="shared" si="156"/>
        <v>0</v>
      </c>
      <c r="AH171">
        <f t="shared" si="179"/>
        <v>1.38</v>
      </c>
      <c r="AI171">
        <f t="shared" si="179"/>
        <v>0</v>
      </c>
      <c r="AJ171">
        <f t="shared" si="157"/>
        <v>0</v>
      </c>
      <c r="AK171">
        <v>771.65</v>
      </c>
      <c r="AL171">
        <v>0</v>
      </c>
      <c r="AM171">
        <v>757.55</v>
      </c>
      <c r="AN171">
        <v>140.47999999999999</v>
      </c>
      <c r="AO171">
        <v>14.1</v>
      </c>
      <c r="AP171">
        <v>0</v>
      </c>
      <c r="AQ171">
        <v>1.38</v>
      </c>
      <c r="AR171">
        <v>0</v>
      </c>
      <c r="AS171">
        <v>0</v>
      </c>
      <c r="AT171">
        <v>97</v>
      </c>
      <c r="AU171">
        <v>54</v>
      </c>
      <c r="AV171">
        <v>1.1919999999999999</v>
      </c>
      <c r="AW171">
        <v>1</v>
      </c>
      <c r="AZ171">
        <v>1</v>
      </c>
      <c r="BA171">
        <v>17.46</v>
      </c>
      <c r="BB171">
        <v>7.49</v>
      </c>
      <c r="BC171">
        <v>1</v>
      </c>
      <c r="BD171" t="s">
        <v>3</v>
      </c>
      <c r="BE171" t="s">
        <v>3</v>
      </c>
      <c r="BF171" t="s">
        <v>3</v>
      </c>
      <c r="BG171" t="s">
        <v>3</v>
      </c>
      <c r="BH171">
        <v>0</v>
      </c>
      <c r="BI171">
        <v>1</v>
      </c>
      <c r="BJ171" t="s">
        <v>64</v>
      </c>
      <c r="BM171">
        <v>2</v>
      </c>
      <c r="BN171">
        <v>0</v>
      </c>
      <c r="BO171" t="s">
        <v>61</v>
      </c>
      <c r="BP171">
        <v>1</v>
      </c>
      <c r="BQ171">
        <v>30</v>
      </c>
      <c r="BR171">
        <v>0</v>
      </c>
      <c r="BS171">
        <v>17.46</v>
      </c>
      <c r="BT171">
        <v>1</v>
      </c>
      <c r="BU171">
        <v>1</v>
      </c>
      <c r="BV171">
        <v>1</v>
      </c>
      <c r="BW171">
        <v>1</v>
      </c>
      <c r="BX171">
        <v>1</v>
      </c>
      <c r="BY171" t="s">
        <v>3</v>
      </c>
      <c r="BZ171">
        <v>97</v>
      </c>
      <c r="CA171">
        <v>54</v>
      </c>
      <c r="CF171">
        <v>0</v>
      </c>
      <c r="CG171">
        <v>0</v>
      </c>
      <c r="CM171">
        <v>0</v>
      </c>
      <c r="CN171" t="s">
        <v>3</v>
      </c>
      <c r="CO171">
        <v>0</v>
      </c>
      <c r="CP171">
        <f t="shared" si="158"/>
        <v>6636.4000000000005</v>
      </c>
      <c r="CQ171">
        <f t="shared" si="159"/>
        <v>0</v>
      </c>
      <c r="CR171">
        <f t="shared" si="160"/>
        <v>6763.4670040000001</v>
      </c>
      <c r="CS171">
        <f t="shared" si="161"/>
        <v>2923.7147135999999</v>
      </c>
      <c r="CT171">
        <f t="shared" si="162"/>
        <v>293.453712</v>
      </c>
      <c r="CU171">
        <f t="shared" si="163"/>
        <v>0</v>
      </c>
      <c r="CV171">
        <f t="shared" si="164"/>
        <v>1.6449599999999998</v>
      </c>
      <c r="CW171">
        <f t="shared" si="165"/>
        <v>0</v>
      </c>
      <c r="CX171">
        <f t="shared" si="166"/>
        <v>0</v>
      </c>
      <c r="CY171">
        <f t="shared" si="167"/>
        <v>267.6909</v>
      </c>
      <c r="CZ171">
        <f t="shared" si="168"/>
        <v>149.02380000000002</v>
      </c>
      <c r="DC171" t="s">
        <v>3</v>
      </c>
      <c r="DD171" t="s">
        <v>3</v>
      </c>
      <c r="DE171" t="s">
        <v>3</v>
      </c>
      <c r="DF171" t="s">
        <v>3</v>
      </c>
      <c r="DG171" t="s">
        <v>3</v>
      </c>
      <c r="DH171" t="s">
        <v>3</v>
      </c>
      <c r="DI171" t="s">
        <v>3</v>
      </c>
      <c r="DJ171" t="s">
        <v>3</v>
      </c>
      <c r="DK171" t="s">
        <v>3</v>
      </c>
      <c r="DL171" t="s">
        <v>3</v>
      </c>
      <c r="DM171" t="s">
        <v>3</v>
      </c>
      <c r="DN171">
        <v>98</v>
      </c>
      <c r="DO171">
        <v>77</v>
      </c>
      <c r="DP171">
        <v>1.1919999999999999</v>
      </c>
      <c r="DQ171">
        <v>1</v>
      </c>
      <c r="DU171">
        <v>1007</v>
      </c>
      <c r="DV171" t="s">
        <v>63</v>
      </c>
      <c r="DW171" t="s">
        <v>63</v>
      </c>
      <c r="DX171">
        <v>100</v>
      </c>
      <c r="EE171">
        <v>33193650</v>
      </c>
      <c r="EF171">
        <v>30</v>
      </c>
      <c r="EG171" t="s">
        <v>48</v>
      </c>
      <c r="EH171">
        <v>0</v>
      </c>
      <c r="EI171" t="s">
        <v>3</v>
      </c>
      <c r="EJ171">
        <v>1</v>
      </c>
      <c r="EK171">
        <v>2</v>
      </c>
      <c r="EL171" t="s">
        <v>65</v>
      </c>
      <c r="EM171" t="s">
        <v>66</v>
      </c>
      <c r="EO171" t="s">
        <v>3</v>
      </c>
      <c r="EQ171">
        <v>0</v>
      </c>
      <c r="ER171">
        <v>771.65</v>
      </c>
      <c r="ES171">
        <v>0</v>
      </c>
      <c r="ET171">
        <v>757.55</v>
      </c>
      <c r="EU171">
        <v>140.47999999999999</v>
      </c>
      <c r="EV171">
        <v>14.1</v>
      </c>
      <c r="EW171">
        <v>1.38</v>
      </c>
      <c r="EX171">
        <v>0</v>
      </c>
      <c r="EY171">
        <v>0</v>
      </c>
      <c r="FQ171">
        <v>0</v>
      </c>
      <c r="FR171">
        <f t="shared" si="169"/>
        <v>0</v>
      </c>
      <c r="FS171">
        <v>0</v>
      </c>
      <c r="FX171">
        <v>98</v>
      </c>
      <c r="FY171">
        <v>77</v>
      </c>
      <c r="GA171" t="s">
        <v>3</v>
      </c>
      <c r="GD171">
        <v>0</v>
      </c>
      <c r="GF171">
        <v>-1881523562</v>
      </c>
      <c r="GG171">
        <v>2</v>
      </c>
      <c r="GH171">
        <v>1</v>
      </c>
      <c r="GI171">
        <v>2</v>
      </c>
      <c r="GJ171">
        <v>0</v>
      </c>
      <c r="GK171">
        <f>ROUND(R171*(R12)/100,2)</f>
        <v>4591.6499999999996</v>
      </c>
      <c r="GL171">
        <f t="shared" si="170"/>
        <v>0</v>
      </c>
      <c r="GM171">
        <f t="shared" si="171"/>
        <v>11644.759999999998</v>
      </c>
      <c r="GN171">
        <f t="shared" si="172"/>
        <v>11644.76</v>
      </c>
      <c r="GO171">
        <f t="shared" si="173"/>
        <v>0</v>
      </c>
      <c r="GP171">
        <f t="shared" si="174"/>
        <v>0</v>
      </c>
      <c r="GR171">
        <v>0</v>
      </c>
      <c r="GT171">
        <v>0</v>
      </c>
      <c r="GU171">
        <v>1</v>
      </c>
      <c r="GV171">
        <v>0</v>
      </c>
      <c r="GW171">
        <v>0</v>
      </c>
    </row>
    <row r="172" spans="1:205" x14ac:dyDescent="0.2">
      <c r="A172">
        <v>17</v>
      </c>
      <c r="B172">
        <v>1</v>
      </c>
      <c r="E172" t="s">
        <v>239</v>
      </c>
      <c r="F172" t="s">
        <v>68</v>
      </c>
      <c r="G172" t="s">
        <v>69</v>
      </c>
      <c r="H172" t="s">
        <v>30</v>
      </c>
      <c r="I172">
        <f>ROUND(I171*100,9)</f>
        <v>94.040999999999997</v>
      </c>
      <c r="J172">
        <v>0</v>
      </c>
      <c r="O172">
        <f t="shared" si="144"/>
        <v>58887.5</v>
      </c>
      <c r="P172">
        <f t="shared" si="145"/>
        <v>0</v>
      </c>
      <c r="Q172">
        <f t="shared" si="146"/>
        <v>58887.5</v>
      </c>
      <c r="R172">
        <f t="shared" si="147"/>
        <v>0</v>
      </c>
      <c r="S172">
        <f t="shared" si="148"/>
        <v>0</v>
      </c>
      <c r="T172">
        <f t="shared" si="149"/>
        <v>0</v>
      </c>
      <c r="U172">
        <f t="shared" si="150"/>
        <v>0</v>
      </c>
      <c r="V172">
        <f t="shared" si="151"/>
        <v>0</v>
      </c>
      <c r="W172">
        <f t="shared" si="152"/>
        <v>0</v>
      </c>
      <c r="X172">
        <f t="shared" si="153"/>
        <v>0</v>
      </c>
      <c r="Y172">
        <f t="shared" si="154"/>
        <v>0</v>
      </c>
      <c r="AA172">
        <v>90163004</v>
      </c>
      <c r="AB172">
        <f t="shared" si="155"/>
        <v>71.319999999999993</v>
      </c>
      <c r="AC172">
        <f t="shared" si="177"/>
        <v>0</v>
      </c>
      <c r="AD172">
        <f t="shared" si="178"/>
        <v>71.319999999999993</v>
      </c>
      <c r="AE172">
        <f t="shared" si="178"/>
        <v>0</v>
      </c>
      <c r="AF172">
        <f t="shared" si="178"/>
        <v>0</v>
      </c>
      <c r="AG172">
        <f t="shared" si="156"/>
        <v>0</v>
      </c>
      <c r="AH172">
        <f t="shared" si="179"/>
        <v>0</v>
      </c>
      <c r="AI172">
        <f t="shared" si="179"/>
        <v>0</v>
      </c>
      <c r="AJ172">
        <f t="shared" si="157"/>
        <v>0</v>
      </c>
      <c r="AK172">
        <v>71.319999999999993</v>
      </c>
      <c r="AL172">
        <v>0</v>
      </c>
      <c r="AM172">
        <v>71.319999999999993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1</v>
      </c>
      <c r="AW172">
        <v>1</v>
      </c>
      <c r="AZ172">
        <v>1</v>
      </c>
      <c r="BA172">
        <v>17.46</v>
      </c>
      <c r="BB172">
        <v>8.7799999999999994</v>
      </c>
      <c r="BC172">
        <v>1</v>
      </c>
      <c r="BD172" t="s">
        <v>3</v>
      </c>
      <c r="BE172" t="s">
        <v>3</v>
      </c>
      <c r="BF172" t="s">
        <v>3</v>
      </c>
      <c r="BG172" t="s">
        <v>3</v>
      </c>
      <c r="BH172">
        <v>0</v>
      </c>
      <c r="BI172">
        <v>4</v>
      </c>
      <c r="BJ172" t="s">
        <v>70</v>
      </c>
      <c r="BM172">
        <v>1111</v>
      </c>
      <c r="BN172">
        <v>0</v>
      </c>
      <c r="BO172" t="s">
        <v>68</v>
      </c>
      <c r="BP172">
        <v>1</v>
      </c>
      <c r="BQ172">
        <v>150</v>
      </c>
      <c r="BR172">
        <v>0</v>
      </c>
      <c r="BS172">
        <v>17.46</v>
      </c>
      <c r="BT172">
        <v>1</v>
      </c>
      <c r="BU172">
        <v>1</v>
      </c>
      <c r="BV172">
        <v>1</v>
      </c>
      <c r="BW172">
        <v>1</v>
      </c>
      <c r="BX172">
        <v>1</v>
      </c>
      <c r="BY172" t="s">
        <v>3</v>
      </c>
      <c r="BZ172">
        <v>0</v>
      </c>
      <c r="CA172">
        <v>0</v>
      </c>
      <c r="CF172">
        <v>0</v>
      </c>
      <c r="CG172">
        <v>0</v>
      </c>
      <c r="CM172">
        <v>0</v>
      </c>
      <c r="CN172" t="s">
        <v>3</v>
      </c>
      <c r="CO172">
        <v>0</v>
      </c>
      <c r="CP172">
        <f t="shared" si="158"/>
        <v>58887.5</v>
      </c>
      <c r="CQ172">
        <f t="shared" si="159"/>
        <v>0</v>
      </c>
      <c r="CR172">
        <f t="shared" si="160"/>
        <v>626.18959999999993</v>
      </c>
      <c r="CS172">
        <f t="shared" si="161"/>
        <v>0</v>
      </c>
      <c r="CT172">
        <f t="shared" si="162"/>
        <v>0</v>
      </c>
      <c r="CU172">
        <f t="shared" si="163"/>
        <v>0</v>
      </c>
      <c r="CV172">
        <f t="shared" si="164"/>
        <v>0</v>
      </c>
      <c r="CW172">
        <f t="shared" si="165"/>
        <v>0</v>
      </c>
      <c r="CX172">
        <f t="shared" si="166"/>
        <v>0</v>
      </c>
      <c r="CY172">
        <f t="shared" si="167"/>
        <v>0</v>
      </c>
      <c r="CZ172">
        <f t="shared" si="168"/>
        <v>0</v>
      </c>
      <c r="DC172" t="s">
        <v>3</v>
      </c>
      <c r="DD172" t="s">
        <v>3</v>
      </c>
      <c r="DE172" t="s">
        <v>3</v>
      </c>
      <c r="DF172" t="s">
        <v>3</v>
      </c>
      <c r="DG172" t="s">
        <v>3</v>
      </c>
      <c r="DH172" t="s">
        <v>3</v>
      </c>
      <c r="DI172" t="s">
        <v>3</v>
      </c>
      <c r="DJ172" t="s">
        <v>3</v>
      </c>
      <c r="DK172" t="s">
        <v>3</v>
      </c>
      <c r="DL172" t="s">
        <v>3</v>
      </c>
      <c r="DM172" t="s">
        <v>3</v>
      </c>
      <c r="DN172">
        <v>0</v>
      </c>
      <c r="DO172">
        <v>0</v>
      </c>
      <c r="DP172">
        <v>1</v>
      </c>
      <c r="DQ172">
        <v>1</v>
      </c>
      <c r="DU172">
        <v>1007</v>
      </c>
      <c r="DV172" t="s">
        <v>30</v>
      </c>
      <c r="DW172" t="s">
        <v>30</v>
      </c>
      <c r="DX172">
        <v>1</v>
      </c>
      <c r="EE172">
        <v>33196047</v>
      </c>
      <c r="EF172">
        <v>150</v>
      </c>
      <c r="EG172" t="s">
        <v>71</v>
      </c>
      <c r="EH172">
        <v>0</v>
      </c>
      <c r="EI172" t="s">
        <v>3</v>
      </c>
      <c r="EJ172">
        <v>4</v>
      </c>
      <c r="EK172">
        <v>1111</v>
      </c>
      <c r="EL172" t="s">
        <v>72</v>
      </c>
      <c r="EM172" t="s">
        <v>73</v>
      </c>
      <c r="EO172" t="s">
        <v>3</v>
      </c>
      <c r="EQ172">
        <v>0</v>
      </c>
      <c r="ER172">
        <v>71.319999999999993</v>
      </c>
      <c r="ES172">
        <v>0</v>
      </c>
      <c r="ET172">
        <v>71.319999999999993</v>
      </c>
      <c r="EU172">
        <v>0</v>
      </c>
      <c r="EV172">
        <v>0</v>
      </c>
      <c r="EW172">
        <v>0</v>
      </c>
      <c r="EX172">
        <v>0</v>
      </c>
      <c r="EY172">
        <v>0</v>
      </c>
      <c r="FQ172">
        <v>0</v>
      </c>
      <c r="FR172">
        <f t="shared" si="169"/>
        <v>0</v>
      </c>
      <c r="FS172">
        <v>0</v>
      </c>
      <c r="FX172">
        <v>0</v>
      </c>
      <c r="FY172">
        <v>0</v>
      </c>
      <c r="GA172" t="s">
        <v>3</v>
      </c>
      <c r="GD172">
        <v>0</v>
      </c>
      <c r="GF172">
        <v>-479188797</v>
      </c>
      <c r="GG172">
        <v>2</v>
      </c>
      <c r="GH172">
        <v>1</v>
      </c>
      <c r="GI172">
        <v>2</v>
      </c>
      <c r="GJ172">
        <v>0</v>
      </c>
      <c r="GK172">
        <f>ROUND(R172*(R12)/100,2)</f>
        <v>0</v>
      </c>
      <c r="GL172">
        <f t="shared" si="170"/>
        <v>0</v>
      </c>
      <c r="GM172">
        <f t="shared" si="171"/>
        <v>58887.5</v>
      </c>
      <c r="GN172">
        <f t="shared" si="172"/>
        <v>0</v>
      </c>
      <c r="GO172">
        <f t="shared" si="173"/>
        <v>0</v>
      </c>
      <c r="GP172">
        <f t="shared" si="174"/>
        <v>58887.5</v>
      </c>
      <c r="GR172">
        <v>0</v>
      </c>
      <c r="GT172">
        <v>0</v>
      </c>
      <c r="GU172">
        <v>1</v>
      </c>
      <c r="GV172">
        <v>0</v>
      </c>
      <c r="GW172">
        <v>0</v>
      </c>
    </row>
    <row r="173" spans="1:205" x14ac:dyDescent="0.2">
      <c r="A173">
        <v>17</v>
      </c>
      <c r="B173">
        <v>1</v>
      </c>
      <c r="E173" t="s">
        <v>240</v>
      </c>
      <c r="F173" t="s">
        <v>75</v>
      </c>
      <c r="G173" t="s">
        <v>76</v>
      </c>
      <c r="H173" t="s">
        <v>39</v>
      </c>
      <c r="I173">
        <f>ROUND(I172*1.5,9)</f>
        <v>141.0615</v>
      </c>
      <c r="J173">
        <v>0</v>
      </c>
      <c r="O173">
        <f t="shared" si="144"/>
        <v>12759.75</v>
      </c>
      <c r="P173">
        <f t="shared" si="145"/>
        <v>0</v>
      </c>
      <c r="Q173">
        <f t="shared" si="146"/>
        <v>12759.75</v>
      </c>
      <c r="R173">
        <f t="shared" si="147"/>
        <v>0</v>
      </c>
      <c r="S173">
        <f t="shared" si="148"/>
        <v>0</v>
      </c>
      <c r="T173">
        <f t="shared" si="149"/>
        <v>0</v>
      </c>
      <c r="U173">
        <f t="shared" si="150"/>
        <v>0</v>
      </c>
      <c r="V173">
        <f t="shared" si="151"/>
        <v>0</v>
      </c>
      <c r="W173">
        <f t="shared" si="152"/>
        <v>0</v>
      </c>
      <c r="X173">
        <f t="shared" si="153"/>
        <v>0</v>
      </c>
      <c r="Y173">
        <f t="shared" si="154"/>
        <v>0</v>
      </c>
      <c r="AA173">
        <v>90163004</v>
      </c>
      <c r="AB173">
        <f t="shared" si="155"/>
        <v>43.28</v>
      </c>
      <c r="AC173">
        <f t="shared" si="177"/>
        <v>0</v>
      </c>
      <c r="AD173">
        <f t="shared" si="178"/>
        <v>43.28</v>
      </c>
      <c r="AE173">
        <f t="shared" si="178"/>
        <v>0</v>
      </c>
      <c r="AF173">
        <f t="shared" si="178"/>
        <v>0</v>
      </c>
      <c r="AG173">
        <f t="shared" si="156"/>
        <v>0</v>
      </c>
      <c r="AH173">
        <f t="shared" si="179"/>
        <v>0</v>
      </c>
      <c r="AI173">
        <f t="shared" si="179"/>
        <v>0</v>
      </c>
      <c r="AJ173">
        <f t="shared" si="157"/>
        <v>0</v>
      </c>
      <c r="AK173">
        <v>43.28</v>
      </c>
      <c r="AL173">
        <v>0</v>
      </c>
      <c r="AM173">
        <v>43.28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1</v>
      </c>
      <c r="AW173">
        <v>1</v>
      </c>
      <c r="AZ173">
        <v>1</v>
      </c>
      <c r="BA173">
        <v>17.46</v>
      </c>
      <c r="BB173">
        <v>2.09</v>
      </c>
      <c r="BC173">
        <v>1</v>
      </c>
      <c r="BD173" t="s">
        <v>3</v>
      </c>
      <c r="BE173" t="s">
        <v>3</v>
      </c>
      <c r="BF173" t="s">
        <v>3</v>
      </c>
      <c r="BG173" t="s">
        <v>3</v>
      </c>
      <c r="BH173">
        <v>0</v>
      </c>
      <c r="BI173">
        <v>4</v>
      </c>
      <c r="BJ173" t="s">
        <v>77</v>
      </c>
      <c r="BM173">
        <v>1111</v>
      </c>
      <c r="BN173">
        <v>0</v>
      </c>
      <c r="BO173" t="s">
        <v>75</v>
      </c>
      <c r="BP173">
        <v>1</v>
      </c>
      <c r="BQ173">
        <v>150</v>
      </c>
      <c r="BR173">
        <v>0</v>
      </c>
      <c r="BS173">
        <v>17.46</v>
      </c>
      <c r="BT173">
        <v>1</v>
      </c>
      <c r="BU173">
        <v>1</v>
      </c>
      <c r="BV173">
        <v>1</v>
      </c>
      <c r="BW173">
        <v>1</v>
      </c>
      <c r="BX173">
        <v>1</v>
      </c>
      <c r="BY173" t="s">
        <v>3</v>
      </c>
      <c r="BZ173">
        <v>0</v>
      </c>
      <c r="CA173">
        <v>0</v>
      </c>
      <c r="CF173">
        <v>0</v>
      </c>
      <c r="CG173">
        <v>0</v>
      </c>
      <c r="CM173">
        <v>0</v>
      </c>
      <c r="CN173" t="s">
        <v>3</v>
      </c>
      <c r="CO173">
        <v>0</v>
      </c>
      <c r="CP173">
        <f t="shared" si="158"/>
        <v>12759.75</v>
      </c>
      <c r="CQ173">
        <f t="shared" si="159"/>
        <v>0</v>
      </c>
      <c r="CR173">
        <f t="shared" si="160"/>
        <v>90.455199999999991</v>
      </c>
      <c r="CS173">
        <f t="shared" si="161"/>
        <v>0</v>
      </c>
      <c r="CT173">
        <f t="shared" si="162"/>
        <v>0</v>
      </c>
      <c r="CU173">
        <f t="shared" si="163"/>
        <v>0</v>
      </c>
      <c r="CV173">
        <f t="shared" si="164"/>
        <v>0</v>
      </c>
      <c r="CW173">
        <f t="shared" si="165"/>
        <v>0</v>
      </c>
      <c r="CX173">
        <f t="shared" si="166"/>
        <v>0</v>
      </c>
      <c r="CY173">
        <f t="shared" si="167"/>
        <v>0</v>
      </c>
      <c r="CZ173">
        <f t="shared" si="168"/>
        <v>0</v>
      </c>
      <c r="DC173" t="s">
        <v>3</v>
      </c>
      <c r="DD173" t="s">
        <v>3</v>
      </c>
      <c r="DE173" t="s">
        <v>3</v>
      </c>
      <c r="DF173" t="s">
        <v>3</v>
      </c>
      <c r="DG173" t="s">
        <v>3</v>
      </c>
      <c r="DH173" t="s">
        <v>3</v>
      </c>
      <c r="DI173" t="s">
        <v>3</v>
      </c>
      <c r="DJ173" t="s">
        <v>3</v>
      </c>
      <c r="DK173" t="s">
        <v>3</v>
      </c>
      <c r="DL173" t="s">
        <v>3</v>
      </c>
      <c r="DM173" t="s">
        <v>3</v>
      </c>
      <c r="DN173">
        <v>0</v>
      </c>
      <c r="DO173">
        <v>0</v>
      </c>
      <c r="DP173">
        <v>1</v>
      </c>
      <c r="DQ173">
        <v>1</v>
      </c>
      <c r="DU173">
        <v>1009</v>
      </c>
      <c r="DV173" t="s">
        <v>39</v>
      </c>
      <c r="DW173" t="s">
        <v>39</v>
      </c>
      <c r="DX173">
        <v>1000</v>
      </c>
      <c r="EE173">
        <v>33196047</v>
      </c>
      <c r="EF173">
        <v>150</v>
      </c>
      <c r="EG173" t="s">
        <v>71</v>
      </c>
      <c r="EH173">
        <v>0</v>
      </c>
      <c r="EI173" t="s">
        <v>3</v>
      </c>
      <c r="EJ173">
        <v>4</v>
      </c>
      <c r="EK173">
        <v>1111</v>
      </c>
      <c r="EL173" t="s">
        <v>72</v>
      </c>
      <c r="EM173" t="s">
        <v>73</v>
      </c>
      <c r="EO173" t="s">
        <v>3</v>
      </c>
      <c r="EQ173">
        <v>0</v>
      </c>
      <c r="ER173">
        <v>43.28</v>
      </c>
      <c r="ES173">
        <v>0</v>
      </c>
      <c r="ET173">
        <v>43.28</v>
      </c>
      <c r="EU173">
        <v>0</v>
      </c>
      <c r="EV173">
        <v>0</v>
      </c>
      <c r="EW173">
        <v>0</v>
      </c>
      <c r="EX173">
        <v>0</v>
      </c>
      <c r="EY173">
        <v>0</v>
      </c>
      <c r="FQ173">
        <v>0</v>
      </c>
      <c r="FR173">
        <f t="shared" si="169"/>
        <v>0</v>
      </c>
      <c r="FS173">
        <v>0</v>
      </c>
      <c r="FX173">
        <v>0</v>
      </c>
      <c r="FY173">
        <v>0</v>
      </c>
      <c r="GA173" t="s">
        <v>3</v>
      </c>
      <c r="GD173">
        <v>0</v>
      </c>
      <c r="GF173">
        <v>1695613196</v>
      </c>
      <c r="GG173">
        <v>2</v>
      </c>
      <c r="GH173">
        <v>1</v>
      </c>
      <c r="GI173">
        <v>2</v>
      </c>
      <c r="GJ173">
        <v>0</v>
      </c>
      <c r="GK173">
        <f>ROUND(R173*(R12)/100,2)</f>
        <v>0</v>
      </c>
      <c r="GL173">
        <f t="shared" si="170"/>
        <v>0</v>
      </c>
      <c r="GM173">
        <f t="shared" si="171"/>
        <v>12759.75</v>
      </c>
      <c r="GN173">
        <f t="shared" si="172"/>
        <v>0</v>
      </c>
      <c r="GO173">
        <f t="shared" si="173"/>
        <v>0</v>
      </c>
      <c r="GP173">
        <f t="shared" si="174"/>
        <v>12759.75</v>
      </c>
      <c r="GR173">
        <v>0</v>
      </c>
      <c r="GT173">
        <v>0</v>
      </c>
      <c r="GU173">
        <v>1</v>
      </c>
      <c r="GV173">
        <v>0</v>
      </c>
      <c r="GW173">
        <v>0</v>
      </c>
    </row>
    <row r="174" spans="1:205" x14ac:dyDescent="0.2">
      <c r="A174">
        <v>17</v>
      </c>
      <c r="B174">
        <v>1</v>
      </c>
      <c r="E174" t="s">
        <v>241</v>
      </c>
      <c r="F174" t="s">
        <v>79</v>
      </c>
      <c r="G174" t="s">
        <v>80</v>
      </c>
      <c r="H174" t="s">
        <v>39</v>
      </c>
      <c r="I174">
        <f>0.236+0.433</f>
        <v>0.66900000000000004</v>
      </c>
      <c r="J174">
        <v>0</v>
      </c>
      <c r="O174">
        <f t="shared" si="144"/>
        <v>297.3</v>
      </c>
      <c r="P174">
        <f t="shared" si="145"/>
        <v>0</v>
      </c>
      <c r="Q174">
        <f t="shared" si="146"/>
        <v>297.3</v>
      </c>
      <c r="R174">
        <f t="shared" si="147"/>
        <v>0</v>
      </c>
      <c r="S174">
        <f t="shared" si="148"/>
        <v>0</v>
      </c>
      <c r="T174">
        <f t="shared" si="149"/>
        <v>0</v>
      </c>
      <c r="U174">
        <f t="shared" si="150"/>
        <v>0</v>
      </c>
      <c r="V174">
        <f t="shared" si="151"/>
        <v>0</v>
      </c>
      <c r="W174">
        <f t="shared" si="152"/>
        <v>0</v>
      </c>
      <c r="X174">
        <f t="shared" si="153"/>
        <v>0</v>
      </c>
      <c r="Y174">
        <f t="shared" si="154"/>
        <v>0</v>
      </c>
      <c r="AA174">
        <v>90163004</v>
      </c>
      <c r="AB174">
        <f t="shared" si="155"/>
        <v>58.32</v>
      </c>
      <c r="AC174">
        <f t="shared" si="177"/>
        <v>0</v>
      </c>
      <c r="AD174">
        <f t="shared" si="178"/>
        <v>58.32</v>
      </c>
      <c r="AE174">
        <f t="shared" si="178"/>
        <v>0</v>
      </c>
      <c r="AF174">
        <f t="shared" si="178"/>
        <v>0</v>
      </c>
      <c r="AG174">
        <f t="shared" si="156"/>
        <v>0</v>
      </c>
      <c r="AH174">
        <f t="shared" si="179"/>
        <v>0</v>
      </c>
      <c r="AI174">
        <f t="shared" si="179"/>
        <v>0</v>
      </c>
      <c r="AJ174">
        <f t="shared" si="157"/>
        <v>0</v>
      </c>
      <c r="AK174">
        <v>58.32</v>
      </c>
      <c r="AL174">
        <v>0</v>
      </c>
      <c r="AM174">
        <v>58.32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1</v>
      </c>
      <c r="AW174">
        <v>1</v>
      </c>
      <c r="AZ174">
        <v>1</v>
      </c>
      <c r="BA174">
        <v>17.46</v>
      </c>
      <c r="BB174">
        <v>7.62</v>
      </c>
      <c r="BC174">
        <v>1</v>
      </c>
      <c r="BD174" t="s">
        <v>3</v>
      </c>
      <c r="BE174" t="s">
        <v>3</v>
      </c>
      <c r="BF174" t="s">
        <v>3</v>
      </c>
      <c r="BG174" t="s">
        <v>3</v>
      </c>
      <c r="BH174">
        <v>0</v>
      </c>
      <c r="BI174">
        <v>4</v>
      </c>
      <c r="BJ174" t="s">
        <v>81</v>
      </c>
      <c r="BM174">
        <v>1113</v>
      </c>
      <c r="BN174">
        <v>0</v>
      </c>
      <c r="BO174" t="s">
        <v>79</v>
      </c>
      <c r="BP174">
        <v>1</v>
      </c>
      <c r="BQ174">
        <v>150</v>
      </c>
      <c r="BR174">
        <v>0</v>
      </c>
      <c r="BS174">
        <v>17.46</v>
      </c>
      <c r="BT174">
        <v>1</v>
      </c>
      <c r="BU174">
        <v>1</v>
      </c>
      <c r="BV174">
        <v>1</v>
      </c>
      <c r="BW174">
        <v>1</v>
      </c>
      <c r="BX174">
        <v>1</v>
      </c>
      <c r="BY174" t="s">
        <v>3</v>
      </c>
      <c r="BZ174">
        <v>0</v>
      </c>
      <c r="CA174">
        <v>0</v>
      </c>
      <c r="CF174">
        <v>0</v>
      </c>
      <c r="CG174">
        <v>0</v>
      </c>
      <c r="CM174">
        <v>0</v>
      </c>
      <c r="CN174" t="s">
        <v>3</v>
      </c>
      <c r="CO174">
        <v>0</v>
      </c>
      <c r="CP174">
        <f t="shared" si="158"/>
        <v>297.3</v>
      </c>
      <c r="CQ174">
        <f t="shared" si="159"/>
        <v>0</v>
      </c>
      <c r="CR174">
        <f t="shared" si="160"/>
        <v>444.39839999999998</v>
      </c>
      <c r="CS174">
        <f t="shared" si="161"/>
        <v>0</v>
      </c>
      <c r="CT174">
        <f t="shared" si="162"/>
        <v>0</v>
      </c>
      <c r="CU174">
        <f t="shared" si="163"/>
        <v>0</v>
      </c>
      <c r="CV174">
        <f t="shared" si="164"/>
        <v>0</v>
      </c>
      <c r="CW174">
        <f t="shared" si="165"/>
        <v>0</v>
      </c>
      <c r="CX174">
        <f t="shared" si="166"/>
        <v>0</v>
      </c>
      <c r="CY174">
        <f t="shared" si="167"/>
        <v>0</v>
      </c>
      <c r="CZ174">
        <f t="shared" si="168"/>
        <v>0</v>
      </c>
      <c r="DC174" t="s">
        <v>3</v>
      </c>
      <c r="DD174" t="s">
        <v>3</v>
      </c>
      <c r="DE174" t="s">
        <v>3</v>
      </c>
      <c r="DF174" t="s">
        <v>3</v>
      </c>
      <c r="DG174" t="s">
        <v>3</v>
      </c>
      <c r="DH174" t="s">
        <v>3</v>
      </c>
      <c r="DI174" t="s">
        <v>3</v>
      </c>
      <c r="DJ174" t="s">
        <v>3</v>
      </c>
      <c r="DK174" t="s">
        <v>3</v>
      </c>
      <c r="DL174" t="s">
        <v>3</v>
      </c>
      <c r="DM174" t="s">
        <v>3</v>
      </c>
      <c r="DN174">
        <v>0</v>
      </c>
      <c r="DO174">
        <v>0</v>
      </c>
      <c r="DP174">
        <v>1</v>
      </c>
      <c r="DQ174">
        <v>1</v>
      </c>
      <c r="DU174">
        <v>1009</v>
      </c>
      <c r="DV174" t="s">
        <v>39</v>
      </c>
      <c r="DW174" t="s">
        <v>39</v>
      </c>
      <c r="DX174">
        <v>1000</v>
      </c>
      <c r="EE174">
        <v>33196053</v>
      </c>
      <c r="EF174">
        <v>150</v>
      </c>
      <c r="EG174" t="s">
        <v>71</v>
      </c>
      <c r="EH174">
        <v>0</v>
      </c>
      <c r="EI174" t="s">
        <v>3</v>
      </c>
      <c r="EJ174">
        <v>4</v>
      </c>
      <c r="EK174">
        <v>1113</v>
      </c>
      <c r="EL174" t="s">
        <v>82</v>
      </c>
      <c r="EM174" t="s">
        <v>83</v>
      </c>
      <c r="EO174" t="s">
        <v>3</v>
      </c>
      <c r="EQ174">
        <v>0</v>
      </c>
      <c r="ER174">
        <v>58.32</v>
      </c>
      <c r="ES174">
        <v>0</v>
      </c>
      <c r="ET174">
        <v>58.32</v>
      </c>
      <c r="EU174">
        <v>0</v>
      </c>
      <c r="EV174">
        <v>0</v>
      </c>
      <c r="EW174">
        <v>0</v>
      </c>
      <c r="EX174">
        <v>0</v>
      </c>
      <c r="EY174">
        <v>0</v>
      </c>
      <c r="FQ174">
        <v>0</v>
      </c>
      <c r="FR174">
        <f t="shared" si="169"/>
        <v>0</v>
      </c>
      <c r="FS174">
        <v>0</v>
      </c>
      <c r="FX174">
        <v>0</v>
      </c>
      <c r="FY174">
        <v>0</v>
      </c>
      <c r="GA174" t="s">
        <v>3</v>
      </c>
      <c r="GD174">
        <v>0</v>
      </c>
      <c r="GF174">
        <v>1267817562</v>
      </c>
      <c r="GG174">
        <v>2</v>
      </c>
      <c r="GH174">
        <v>1</v>
      </c>
      <c r="GI174">
        <v>2</v>
      </c>
      <c r="GJ174">
        <v>0</v>
      </c>
      <c r="GK174">
        <f>ROUND(R174*(R12)/100,2)</f>
        <v>0</v>
      </c>
      <c r="GL174">
        <f t="shared" si="170"/>
        <v>0</v>
      </c>
      <c r="GM174">
        <f t="shared" si="171"/>
        <v>297.3</v>
      </c>
      <c r="GN174">
        <f t="shared" si="172"/>
        <v>0</v>
      </c>
      <c r="GO174">
        <f t="shared" si="173"/>
        <v>0</v>
      </c>
      <c r="GP174">
        <f t="shared" si="174"/>
        <v>297.3</v>
      </c>
      <c r="GR174">
        <v>0</v>
      </c>
      <c r="GT174">
        <v>0</v>
      </c>
      <c r="GU174">
        <v>1</v>
      </c>
      <c r="GV174">
        <v>0</v>
      </c>
      <c r="GW174">
        <v>0</v>
      </c>
    </row>
    <row r="175" spans="1:205" x14ac:dyDescent="0.2">
      <c r="A175">
        <v>17</v>
      </c>
      <c r="B175">
        <v>1</v>
      </c>
      <c r="E175" t="s">
        <v>242</v>
      </c>
      <c r="F175" t="s">
        <v>85</v>
      </c>
      <c r="G175" t="s">
        <v>86</v>
      </c>
      <c r="H175" t="s">
        <v>39</v>
      </c>
      <c r="I175">
        <f>ROUND(I174,9)</f>
        <v>0.66900000000000004</v>
      </c>
      <c r="J175">
        <v>0</v>
      </c>
      <c r="O175">
        <f t="shared" si="144"/>
        <v>135.81</v>
      </c>
      <c r="P175">
        <f t="shared" si="145"/>
        <v>0</v>
      </c>
      <c r="Q175">
        <f t="shared" si="146"/>
        <v>135.81</v>
      </c>
      <c r="R175">
        <f t="shared" si="147"/>
        <v>0</v>
      </c>
      <c r="S175">
        <f t="shared" si="148"/>
        <v>0</v>
      </c>
      <c r="T175">
        <f t="shared" si="149"/>
        <v>0</v>
      </c>
      <c r="U175">
        <f t="shared" si="150"/>
        <v>0</v>
      </c>
      <c r="V175">
        <f t="shared" si="151"/>
        <v>0</v>
      </c>
      <c r="W175">
        <f t="shared" si="152"/>
        <v>0</v>
      </c>
      <c r="X175">
        <f t="shared" si="153"/>
        <v>0</v>
      </c>
      <c r="Y175">
        <f t="shared" si="154"/>
        <v>0</v>
      </c>
      <c r="AA175">
        <v>90163004</v>
      </c>
      <c r="AB175">
        <f t="shared" si="155"/>
        <v>101</v>
      </c>
      <c r="AC175">
        <f t="shared" si="177"/>
        <v>0</v>
      </c>
      <c r="AD175">
        <f t="shared" si="178"/>
        <v>101</v>
      </c>
      <c r="AE175">
        <f t="shared" si="178"/>
        <v>0</v>
      </c>
      <c r="AF175">
        <f t="shared" si="178"/>
        <v>0</v>
      </c>
      <c r="AG175">
        <f t="shared" si="156"/>
        <v>0</v>
      </c>
      <c r="AH175">
        <f t="shared" si="179"/>
        <v>0</v>
      </c>
      <c r="AI175">
        <f t="shared" si="179"/>
        <v>0</v>
      </c>
      <c r="AJ175">
        <f t="shared" si="157"/>
        <v>0</v>
      </c>
      <c r="AK175">
        <v>101</v>
      </c>
      <c r="AL175">
        <v>0</v>
      </c>
      <c r="AM175">
        <v>101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1</v>
      </c>
      <c r="AW175">
        <v>1</v>
      </c>
      <c r="AZ175">
        <v>1</v>
      </c>
      <c r="BA175">
        <v>17.46</v>
      </c>
      <c r="BB175">
        <v>2.0099999999999998</v>
      </c>
      <c r="BC175">
        <v>1</v>
      </c>
      <c r="BD175" t="s">
        <v>3</v>
      </c>
      <c r="BE175" t="s">
        <v>3</v>
      </c>
      <c r="BF175" t="s">
        <v>3</v>
      </c>
      <c r="BG175" t="s">
        <v>3</v>
      </c>
      <c r="BH175">
        <v>0</v>
      </c>
      <c r="BI175">
        <v>4</v>
      </c>
      <c r="BJ175" t="s">
        <v>87</v>
      </c>
      <c r="BM175">
        <v>1110</v>
      </c>
      <c r="BN175">
        <v>0</v>
      </c>
      <c r="BO175" t="s">
        <v>85</v>
      </c>
      <c r="BP175">
        <v>1</v>
      </c>
      <c r="BQ175">
        <v>150</v>
      </c>
      <c r="BR175">
        <v>0</v>
      </c>
      <c r="BS175">
        <v>17.46</v>
      </c>
      <c r="BT175">
        <v>1</v>
      </c>
      <c r="BU175">
        <v>1</v>
      </c>
      <c r="BV175">
        <v>1</v>
      </c>
      <c r="BW175">
        <v>1</v>
      </c>
      <c r="BX175">
        <v>1</v>
      </c>
      <c r="BY175" t="s">
        <v>3</v>
      </c>
      <c r="BZ175">
        <v>0</v>
      </c>
      <c r="CA175">
        <v>0</v>
      </c>
      <c r="CF175">
        <v>0</v>
      </c>
      <c r="CG175">
        <v>0</v>
      </c>
      <c r="CM175">
        <v>0</v>
      </c>
      <c r="CN175" t="s">
        <v>3</v>
      </c>
      <c r="CO175">
        <v>0</v>
      </c>
      <c r="CP175">
        <f t="shared" si="158"/>
        <v>135.81</v>
      </c>
      <c r="CQ175">
        <f t="shared" si="159"/>
        <v>0</v>
      </c>
      <c r="CR175">
        <f t="shared" si="160"/>
        <v>203.01</v>
      </c>
      <c r="CS175">
        <f t="shared" si="161"/>
        <v>0</v>
      </c>
      <c r="CT175">
        <f t="shared" si="162"/>
        <v>0</v>
      </c>
      <c r="CU175">
        <f t="shared" si="163"/>
        <v>0</v>
      </c>
      <c r="CV175">
        <f t="shared" si="164"/>
        <v>0</v>
      </c>
      <c r="CW175">
        <f t="shared" si="165"/>
        <v>0</v>
      </c>
      <c r="CX175">
        <f t="shared" si="166"/>
        <v>0</v>
      </c>
      <c r="CY175">
        <f t="shared" si="167"/>
        <v>0</v>
      </c>
      <c r="CZ175">
        <f t="shared" si="168"/>
        <v>0</v>
      </c>
      <c r="DC175" t="s">
        <v>3</v>
      </c>
      <c r="DD175" t="s">
        <v>3</v>
      </c>
      <c r="DE175" t="s">
        <v>3</v>
      </c>
      <c r="DF175" t="s">
        <v>3</v>
      </c>
      <c r="DG175" t="s">
        <v>3</v>
      </c>
      <c r="DH175" t="s">
        <v>3</v>
      </c>
      <c r="DI175" t="s">
        <v>3</v>
      </c>
      <c r="DJ175" t="s">
        <v>3</v>
      </c>
      <c r="DK175" t="s">
        <v>3</v>
      </c>
      <c r="DL175" t="s">
        <v>3</v>
      </c>
      <c r="DM175" t="s">
        <v>3</v>
      </c>
      <c r="DN175">
        <v>0</v>
      </c>
      <c r="DO175">
        <v>0</v>
      </c>
      <c r="DP175">
        <v>1</v>
      </c>
      <c r="DQ175">
        <v>1</v>
      </c>
      <c r="DU175">
        <v>1009</v>
      </c>
      <c r="DV175" t="s">
        <v>39</v>
      </c>
      <c r="DW175" t="s">
        <v>39</v>
      </c>
      <c r="DX175">
        <v>1000</v>
      </c>
      <c r="EE175">
        <v>33196043</v>
      </c>
      <c r="EF175">
        <v>150</v>
      </c>
      <c r="EG175" t="s">
        <v>71</v>
      </c>
      <c r="EH175">
        <v>0</v>
      </c>
      <c r="EI175" t="s">
        <v>3</v>
      </c>
      <c r="EJ175">
        <v>4</v>
      </c>
      <c r="EK175">
        <v>1110</v>
      </c>
      <c r="EL175" t="s">
        <v>88</v>
      </c>
      <c r="EM175" t="s">
        <v>89</v>
      </c>
      <c r="EO175" t="s">
        <v>3</v>
      </c>
      <c r="EQ175">
        <v>0</v>
      </c>
      <c r="ER175">
        <v>101</v>
      </c>
      <c r="ES175">
        <v>0</v>
      </c>
      <c r="ET175">
        <v>101</v>
      </c>
      <c r="EU175">
        <v>0</v>
      </c>
      <c r="EV175">
        <v>0</v>
      </c>
      <c r="EW175">
        <v>0</v>
      </c>
      <c r="EX175">
        <v>0</v>
      </c>
      <c r="EY175">
        <v>0</v>
      </c>
      <c r="FQ175">
        <v>0</v>
      </c>
      <c r="FR175">
        <f t="shared" si="169"/>
        <v>0</v>
      </c>
      <c r="FS175">
        <v>0</v>
      </c>
      <c r="FX175">
        <v>0</v>
      </c>
      <c r="FY175">
        <v>0</v>
      </c>
      <c r="GA175" t="s">
        <v>3</v>
      </c>
      <c r="GD175">
        <v>0</v>
      </c>
      <c r="GF175">
        <v>684198422</v>
      </c>
      <c r="GG175">
        <v>2</v>
      </c>
      <c r="GH175">
        <v>1</v>
      </c>
      <c r="GI175">
        <v>2</v>
      </c>
      <c r="GJ175">
        <v>0</v>
      </c>
      <c r="GK175">
        <f>ROUND(R175*(R12)/100,2)</f>
        <v>0</v>
      </c>
      <c r="GL175">
        <f t="shared" si="170"/>
        <v>0</v>
      </c>
      <c r="GM175">
        <f t="shared" si="171"/>
        <v>135.81</v>
      </c>
      <c r="GN175">
        <f t="shared" si="172"/>
        <v>0</v>
      </c>
      <c r="GO175">
        <f t="shared" si="173"/>
        <v>0</v>
      </c>
      <c r="GP175">
        <f t="shared" si="174"/>
        <v>135.81</v>
      </c>
      <c r="GR175">
        <v>0</v>
      </c>
      <c r="GT175">
        <v>0</v>
      </c>
      <c r="GU175">
        <v>1</v>
      </c>
      <c r="GV175">
        <v>0</v>
      </c>
      <c r="GW175">
        <v>0</v>
      </c>
    </row>
    <row r="177" spans="1:118" x14ac:dyDescent="0.2">
      <c r="A177" s="2">
        <v>51</v>
      </c>
      <c r="B177" s="2">
        <f>B154</f>
        <v>1</v>
      </c>
      <c r="C177" s="2">
        <f>A154</f>
        <v>4</v>
      </c>
      <c r="D177" s="2">
        <f>ROW(A154)</f>
        <v>154</v>
      </c>
      <c r="E177" s="2"/>
      <c r="F177" s="2" t="str">
        <f>IF(F154&lt;&gt;"",F154,"")</f>
        <v>Новый раздел</v>
      </c>
      <c r="G177" s="2" t="str">
        <f>IF(G154&lt;&gt;"",G154,"")</f>
        <v>Байпасы: 2Ду400 - 18 п.м; 2Ду200 - 12 п.м</v>
      </c>
      <c r="H177" s="2"/>
      <c r="I177" s="2"/>
      <c r="J177" s="2"/>
      <c r="K177" s="2"/>
      <c r="L177" s="2"/>
      <c r="M177" s="2"/>
      <c r="N177" s="2"/>
      <c r="O177" s="2">
        <f t="shared" ref="O177:T177" si="180">ROUND(AB177,2)</f>
        <v>2789121.73</v>
      </c>
      <c r="P177" s="2">
        <f t="shared" si="180"/>
        <v>1336337.93</v>
      </c>
      <c r="Q177" s="2">
        <f t="shared" si="180"/>
        <v>400145.21</v>
      </c>
      <c r="R177" s="2">
        <f t="shared" si="180"/>
        <v>2749.49</v>
      </c>
      <c r="S177" s="2">
        <f t="shared" si="180"/>
        <v>1052638.5900000001</v>
      </c>
      <c r="T177" s="2">
        <f t="shared" si="180"/>
        <v>0</v>
      </c>
      <c r="U177" s="2">
        <f>AH177</f>
        <v>1.5469368335999998</v>
      </c>
      <c r="V177" s="2">
        <f>AI177</f>
        <v>0</v>
      </c>
      <c r="W177" s="2">
        <f>ROUND(AJ177,2)</f>
        <v>118.19</v>
      </c>
      <c r="X177" s="2">
        <f>ROUND(AK177,2)</f>
        <v>267.69</v>
      </c>
      <c r="Y177" s="2">
        <f>ROUND(AL177,2)</f>
        <v>149.02000000000001</v>
      </c>
      <c r="Z177" s="2"/>
      <c r="AA177" s="2"/>
      <c r="AB177" s="2">
        <f>ROUND(SUMIF(AA158:AA175,"=90163004",O158:O175),2)</f>
        <v>2789121.73</v>
      </c>
      <c r="AC177" s="2">
        <f>ROUND(SUMIF(AA158:AA175,"=90163004",P158:P175),2)</f>
        <v>1336337.93</v>
      </c>
      <c r="AD177" s="2">
        <f>ROUND(SUMIF(AA158:AA175,"=90163004",Q158:Q175),2)</f>
        <v>400145.21</v>
      </c>
      <c r="AE177" s="2">
        <f>ROUND(SUMIF(AA158:AA175,"=90163004",R158:R175),2)</f>
        <v>2749.49</v>
      </c>
      <c r="AF177" s="2">
        <f>ROUND(SUMIF(AA158:AA175,"=90163004",S158:S175),2)</f>
        <v>1052638.5900000001</v>
      </c>
      <c r="AG177" s="2">
        <f>ROUND(SUMIF(AA158:AA175,"=90163004",T158:T175),2)</f>
        <v>0</v>
      </c>
      <c r="AH177" s="2">
        <f>SUMIF(AA158:AA175,"=90163004",U158:U175)</f>
        <v>1.5469368335999998</v>
      </c>
      <c r="AI177" s="2">
        <f>SUMIF(AA158:AA175,"=90163004",V158:V175)</f>
        <v>0</v>
      </c>
      <c r="AJ177" s="2">
        <f>ROUND(SUMIF(AA158:AA175,"=90163004",W158:W175),2)</f>
        <v>118.19</v>
      </c>
      <c r="AK177" s="2">
        <f>ROUND(SUMIF(AA158:AA175,"=90163004",X158:X175),2)</f>
        <v>267.69</v>
      </c>
      <c r="AL177" s="2">
        <f>ROUND(SUMIF(AA158:AA175,"=90163004",Y158:Y175),2)</f>
        <v>149.02000000000001</v>
      </c>
      <c r="AM177" s="2"/>
      <c r="AN177" s="2"/>
      <c r="AO177" s="2">
        <f t="shared" ref="AO177:AZ177" si="181">ROUND(BB177,2)</f>
        <v>0</v>
      </c>
      <c r="AP177" s="2">
        <f t="shared" si="181"/>
        <v>94388.08</v>
      </c>
      <c r="AQ177" s="2">
        <f t="shared" si="181"/>
        <v>0</v>
      </c>
      <c r="AR177" s="2">
        <f t="shared" si="181"/>
        <v>2794130.09</v>
      </c>
      <c r="AS177" s="2">
        <f t="shared" si="181"/>
        <v>2627661.65</v>
      </c>
      <c r="AT177" s="2">
        <f t="shared" si="181"/>
        <v>0</v>
      </c>
      <c r="AU177" s="2">
        <f t="shared" si="181"/>
        <v>72080.36</v>
      </c>
      <c r="AV177" s="2">
        <f t="shared" si="181"/>
        <v>1336337.93</v>
      </c>
      <c r="AW177" s="2">
        <f t="shared" si="181"/>
        <v>1241949.8500000001</v>
      </c>
      <c r="AX177" s="2">
        <f t="shared" si="181"/>
        <v>0</v>
      </c>
      <c r="AY177" s="2">
        <f t="shared" si="181"/>
        <v>1241949.8500000001</v>
      </c>
      <c r="AZ177" s="2">
        <f t="shared" si="181"/>
        <v>94388.08</v>
      </c>
      <c r="BA177" s="2"/>
      <c r="BB177" s="2">
        <f>ROUND(SUMIF(AA158:AA175,"=90163004",FQ158:FQ175),2)</f>
        <v>0</v>
      </c>
      <c r="BC177" s="2">
        <f>ROUND(SUMIF(AA158:AA175,"=90163004",FR158:FR175),2)</f>
        <v>94388.08</v>
      </c>
      <c r="BD177" s="2">
        <f>ROUND(SUMIF(AA158:AA175,"=90163004",GL158:GL175),2)</f>
        <v>0</v>
      </c>
      <c r="BE177" s="2">
        <f>ROUND(SUMIF(AA158:AA175,"=90163004",GM158:GM175),2)</f>
        <v>2794130.09</v>
      </c>
      <c r="BF177" s="2">
        <f>ROUND(SUMIF(AA158:AA175,"=90163004",GN158:GN175),2)</f>
        <v>2627661.65</v>
      </c>
      <c r="BG177" s="2">
        <f>ROUND(SUMIF(AA158:AA175,"=90163004",GO158:GO175),2)</f>
        <v>0</v>
      </c>
      <c r="BH177" s="2">
        <f>ROUND(SUMIF(AA158:AA175,"=90163004",GP158:GP175),2)</f>
        <v>72080.36</v>
      </c>
      <c r="BI177" s="2">
        <f>AC177-BB177</f>
        <v>1336337.93</v>
      </c>
      <c r="BJ177" s="2">
        <f>AC177-BC177</f>
        <v>1241949.8499999999</v>
      </c>
      <c r="BK177" s="2">
        <f>BB177-BD177</f>
        <v>0</v>
      </c>
      <c r="BL177" s="2">
        <f>AC177-BB177-BC177+BD177</f>
        <v>1241949.8499999999</v>
      </c>
      <c r="BM177" s="2">
        <f>BC177-BD177</f>
        <v>94388.08</v>
      </c>
      <c r="BN177" s="2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>
        <v>0</v>
      </c>
    </row>
    <row r="179" spans="1:118" x14ac:dyDescent="0.2">
      <c r="A179" s="4">
        <v>50</v>
      </c>
      <c r="B179" s="4">
        <v>0</v>
      </c>
      <c r="C179" s="4">
        <v>0</v>
      </c>
      <c r="D179" s="4">
        <v>1</v>
      </c>
      <c r="E179" s="4">
        <v>201</v>
      </c>
      <c r="F179" s="4">
        <f>ROUND(Source!O177,O179)</f>
        <v>2789121.73</v>
      </c>
      <c r="G179" s="4" t="s">
        <v>90</v>
      </c>
      <c r="H179" s="4" t="s">
        <v>91</v>
      </c>
      <c r="I179" s="4"/>
      <c r="J179" s="4"/>
      <c r="K179" s="4">
        <v>201</v>
      </c>
      <c r="L179" s="4">
        <v>1</v>
      </c>
      <c r="M179" s="4">
        <v>3</v>
      </c>
      <c r="N179" s="4" t="s">
        <v>3</v>
      </c>
      <c r="O179" s="4">
        <v>2</v>
      </c>
      <c r="P179" s="4"/>
    </row>
    <row r="180" spans="1:118" x14ac:dyDescent="0.2">
      <c r="A180" s="4">
        <v>50</v>
      </c>
      <c r="B180" s="4">
        <v>0</v>
      </c>
      <c r="C180" s="4">
        <v>0</v>
      </c>
      <c r="D180" s="4">
        <v>1</v>
      </c>
      <c r="E180" s="4">
        <v>202</v>
      </c>
      <c r="F180" s="4">
        <f>ROUND(Source!P177,O180)</f>
        <v>1336337.93</v>
      </c>
      <c r="G180" s="4" t="s">
        <v>92</v>
      </c>
      <c r="H180" s="4" t="s">
        <v>93</v>
      </c>
      <c r="I180" s="4"/>
      <c r="J180" s="4"/>
      <c r="K180" s="4">
        <v>202</v>
      </c>
      <c r="L180" s="4">
        <v>2</v>
      </c>
      <c r="M180" s="4">
        <v>3</v>
      </c>
      <c r="N180" s="4" t="s">
        <v>3</v>
      </c>
      <c r="O180" s="4">
        <v>2</v>
      </c>
      <c r="P180" s="4"/>
    </row>
    <row r="181" spans="1:118" x14ac:dyDescent="0.2">
      <c r="A181" s="4">
        <v>50</v>
      </c>
      <c r="B181" s="4">
        <v>0</v>
      </c>
      <c r="C181" s="4">
        <v>0</v>
      </c>
      <c r="D181" s="4">
        <v>1</v>
      </c>
      <c r="E181" s="4">
        <v>222</v>
      </c>
      <c r="F181" s="4">
        <f>ROUND(Source!AO177,O181)</f>
        <v>0</v>
      </c>
      <c r="G181" s="4" t="s">
        <v>94</v>
      </c>
      <c r="H181" s="4" t="s">
        <v>95</v>
      </c>
      <c r="I181" s="4"/>
      <c r="J181" s="4"/>
      <c r="K181" s="4">
        <v>222</v>
      </c>
      <c r="L181" s="4">
        <v>3</v>
      </c>
      <c r="M181" s="4">
        <v>3</v>
      </c>
      <c r="N181" s="4" t="s">
        <v>3</v>
      </c>
      <c r="O181" s="4">
        <v>2</v>
      </c>
      <c r="P181" s="4"/>
    </row>
    <row r="182" spans="1:118" x14ac:dyDescent="0.2">
      <c r="A182" s="4">
        <v>50</v>
      </c>
      <c r="B182" s="4">
        <v>0</v>
      </c>
      <c r="C182" s="4">
        <v>0</v>
      </c>
      <c r="D182" s="4">
        <v>1</v>
      </c>
      <c r="E182" s="4">
        <v>225</v>
      </c>
      <c r="F182" s="4">
        <f>ROUND(Source!AV177,O182)</f>
        <v>1336337.93</v>
      </c>
      <c r="G182" s="4" t="s">
        <v>96</v>
      </c>
      <c r="H182" s="4" t="s">
        <v>97</v>
      </c>
      <c r="I182" s="4"/>
      <c r="J182" s="4"/>
      <c r="K182" s="4">
        <v>225</v>
      </c>
      <c r="L182" s="4">
        <v>4</v>
      </c>
      <c r="M182" s="4">
        <v>3</v>
      </c>
      <c r="N182" s="4" t="s">
        <v>3</v>
      </c>
      <c r="O182" s="4">
        <v>2</v>
      </c>
      <c r="P182" s="4"/>
    </row>
    <row r="183" spans="1:118" x14ac:dyDescent="0.2">
      <c r="A183" s="4">
        <v>50</v>
      </c>
      <c r="B183" s="4">
        <v>0</v>
      </c>
      <c r="C183" s="4">
        <v>0</v>
      </c>
      <c r="D183" s="4">
        <v>1</v>
      </c>
      <c r="E183" s="4">
        <v>226</v>
      </c>
      <c r="F183" s="4">
        <f>ROUND(Source!AW177,O183)</f>
        <v>1241949.8500000001</v>
      </c>
      <c r="G183" s="4" t="s">
        <v>98</v>
      </c>
      <c r="H183" s="4" t="s">
        <v>99</v>
      </c>
      <c r="I183" s="4"/>
      <c r="J183" s="4"/>
      <c r="K183" s="4">
        <v>226</v>
      </c>
      <c r="L183" s="4">
        <v>5</v>
      </c>
      <c r="M183" s="4">
        <v>3</v>
      </c>
      <c r="N183" s="4" t="s">
        <v>3</v>
      </c>
      <c r="O183" s="4">
        <v>2</v>
      </c>
      <c r="P183" s="4"/>
    </row>
    <row r="184" spans="1:118" x14ac:dyDescent="0.2">
      <c r="A184" s="4">
        <v>50</v>
      </c>
      <c r="B184" s="4">
        <v>0</v>
      </c>
      <c r="C184" s="4">
        <v>0</v>
      </c>
      <c r="D184" s="4">
        <v>1</v>
      </c>
      <c r="E184" s="4">
        <v>227</v>
      </c>
      <c r="F184" s="4">
        <f>ROUND(Source!AX177,O184)</f>
        <v>0</v>
      </c>
      <c r="G184" s="4" t="s">
        <v>100</v>
      </c>
      <c r="H184" s="4" t="s">
        <v>101</v>
      </c>
      <c r="I184" s="4"/>
      <c r="J184" s="4"/>
      <c r="K184" s="4">
        <v>227</v>
      </c>
      <c r="L184" s="4">
        <v>6</v>
      </c>
      <c r="M184" s="4">
        <v>3</v>
      </c>
      <c r="N184" s="4" t="s">
        <v>3</v>
      </c>
      <c r="O184" s="4">
        <v>2</v>
      </c>
      <c r="P184" s="4"/>
    </row>
    <row r="185" spans="1:118" x14ac:dyDescent="0.2">
      <c r="A185" s="4">
        <v>50</v>
      </c>
      <c r="B185" s="4">
        <v>0</v>
      </c>
      <c r="C185" s="4">
        <v>0</v>
      </c>
      <c r="D185" s="4">
        <v>1</v>
      </c>
      <c r="E185" s="4">
        <v>228</v>
      </c>
      <c r="F185" s="4">
        <f>ROUND(Source!AY177,O185)</f>
        <v>1241949.8500000001</v>
      </c>
      <c r="G185" s="4" t="s">
        <v>102</v>
      </c>
      <c r="H185" s="4" t="s">
        <v>103</v>
      </c>
      <c r="I185" s="4"/>
      <c r="J185" s="4"/>
      <c r="K185" s="4">
        <v>228</v>
      </c>
      <c r="L185" s="4">
        <v>7</v>
      </c>
      <c r="M185" s="4">
        <v>3</v>
      </c>
      <c r="N185" s="4" t="s">
        <v>3</v>
      </c>
      <c r="O185" s="4">
        <v>2</v>
      </c>
      <c r="P185" s="4"/>
    </row>
    <row r="186" spans="1:118" x14ac:dyDescent="0.2">
      <c r="A186" s="4">
        <v>50</v>
      </c>
      <c r="B186" s="4">
        <v>0</v>
      </c>
      <c r="C186" s="4">
        <v>0</v>
      </c>
      <c r="D186" s="4">
        <v>1</v>
      </c>
      <c r="E186" s="4">
        <v>216</v>
      </c>
      <c r="F186" s="4">
        <f>ROUND(Source!AP177,O186)</f>
        <v>94388.08</v>
      </c>
      <c r="G186" s="4" t="s">
        <v>104</v>
      </c>
      <c r="H186" s="4" t="s">
        <v>105</v>
      </c>
      <c r="I186" s="4"/>
      <c r="J186" s="4"/>
      <c r="K186" s="4">
        <v>216</v>
      </c>
      <c r="L186" s="4">
        <v>8</v>
      </c>
      <c r="M186" s="4">
        <v>3</v>
      </c>
      <c r="N186" s="4" t="s">
        <v>3</v>
      </c>
      <c r="O186" s="4">
        <v>2</v>
      </c>
      <c r="P186" s="4"/>
    </row>
    <row r="187" spans="1:118" x14ac:dyDescent="0.2">
      <c r="A187" s="4">
        <v>50</v>
      </c>
      <c r="B187" s="4">
        <v>0</v>
      </c>
      <c r="C187" s="4">
        <v>0</v>
      </c>
      <c r="D187" s="4">
        <v>1</v>
      </c>
      <c r="E187" s="4">
        <v>223</v>
      </c>
      <c r="F187" s="4">
        <f>ROUND(Source!AQ177,O187)</f>
        <v>0</v>
      </c>
      <c r="G187" s="4" t="s">
        <v>106</v>
      </c>
      <c r="H187" s="4" t="s">
        <v>107</v>
      </c>
      <c r="I187" s="4"/>
      <c r="J187" s="4"/>
      <c r="K187" s="4">
        <v>223</v>
      </c>
      <c r="L187" s="4">
        <v>9</v>
      </c>
      <c r="M187" s="4">
        <v>3</v>
      </c>
      <c r="N187" s="4" t="s">
        <v>3</v>
      </c>
      <c r="O187" s="4">
        <v>2</v>
      </c>
      <c r="P187" s="4"/>
    </row>
    <row r="188" spans="1:118" x14ac:dyDescent="0.2">
      <c r="A188" s="4">
        <v>50</v>
      </c>
      <c r="B188" s="4">
        <v>0</v>
      </c>
      <c r="C188" s="4">
        <v>0</v>
      </c>
      <c r="D188" s="4">
        <v>1</v>
      </c>
      <c r="E188" s="4">
        <v>229</v>
      </c>
      <c r="F188" s="4">
        <f>ROUND(Source!AZ177,O188)</f>
        <v>94388.08</v>
      </c>
      <c r="G188" s="4" t="s">
        <v>108</v>
      </c>
      <c r="H188" s="4" t="s">
        <v>109</v>
      </c>
      <c r="I188" s="4"/>
      <c r="J188" s="4"/>
      <c r="K188" s="4">
        <v>229</v>
      </c>
      <c r="L188" s="4">
        <v>10</v>
      </c>
      <c r="M188" s="4">
        <v>3</v>
      </c>
      <c r="N188" s="4" t="s">
        <v>3</v>
      </c>
      <c r="O188" s="4">
        <v>2</v>
      </c>
      <c r="P188" s="4"/>
    </row>
    <row r="189" spans="1:118" x14ac:dyDescent="0.2">
      <c r="A189" s="4">
        <v>50</v>
      </c>
      <c r="B189" s="4">
        <v>0</v>
      </c>
      <c r="C189" s="4">
        <v>0</v>
      </c>
      <c r="D189" s="4">
        <v>1</v>
      </c>
      <c r="E189" s="4">
        <v>203</v>
      </c>
      <c r="F189" s="4">
        <f>ROUND(Source!Q177,O189)</f>
        <v>400145.21</v>
      </c>
      <c r="G189" s="4" t="s">
        <v>110</v>
      </c>
      <c r="H189" s="4" t="s">
        <v>111</v>
      </c>
      <c r="I189" s="4"/>
      <c r="J189" s="4"/>
      <c r="K189" s="4">
        <v>203</v>
      </c>
      <c r="L189" s="4">
        <v>11</v>
      </c>
      <c r="M189" s="4">
        <v>3</v>
      </c>
      <c r="N189" s="4" t="s">
        <v>3</v>
      </c>
      <c r="O189" s="4">
        <v>2</v>
      </c>
      <c r="P189" s="4"/>
    </row>
    <row r="190" spans="1:118" x14ac:dyDescent="0.2">
      <c r="A190" s="4">
        <v>50</v>
      </c>
      <c r="B190" s="4">
        <v>0</v>
      </c>
      <c r="C190" s="4">
        <v>0</v>
      </c>
      <c r="D190" s="4">
        <v>1</v>
      </c>
      <c r="E190" s="4">
        <v>204</v>
      </c>
      <c r="F190" s="4">
        <f>ROUND(Source!R177,O190)</f>
        <v>2749.49</v>
      </c>
      <c r="G190" s="4" t="s">
        <v>112</v>
      </c>
      <c r="H190" s="4" t="s">
        <v>113</v>
      </c>
      <c r="I190" s="4"/>
      <c r="J190" s="4"/>
      <c r="K190" s="4">
        <v>204</v>
      </c>
      <c r="L190" s="4">
        <v>12</v>
      </c>
      <c r="M190" s="4">
        <v>3</v>
      </c>
      <c r="N190" s="4" t="s">
        <v>3</v>
      </c>
      <c r="O190" s="4">
        <v>2</v>
      </c>
      <c r="P190" s="4"/>
    </row>
    <row r="191" spans="1:118" x14ac:dyDescent="0.2">
      <c r="A191" s="4">
        <v>50</v>
      </c>
      <c r="B191" s="4">
        <v>0</v>
      </c>
      <c r="C191" s="4">
        <v>0</v>
      </c>
      <c r="D191" s="4">
        <v>1</v>
      </c>
      <c r="E191" s="4">
        <v>205</v>
      </c>
      <c r="F191" s="4">
        <f>ROUND(Source!S177,O191)</f>
        <v>1052638.5900000001</v>
      </c>
      <c r="G191" s="4" t="s">
        <v>114</v>
      </c>
      <c r="H191" s="4" t="s">
        <v>115</v>
      </c>
      <c r="I191" s="4"/>
      <c r="J191" s="4"/>
      <c r="K191" s="4">
        <v>205</v>
      </c>
      <c r="L191" s="4">
        <v>13</v>
      </c>
      <c r="M191" s="4">
        <v>3</v>
      </c>
      <c r="N191" s="4" t="s">
        <v>3</v>
      </c>
      <c r="O191" s="4">
        <v>2</v>
      </c>
      <c r="P191" s="4"/>
    </row>
    <row r="192" spans="1:118" x14ac:dyDescent="0.2">
      <c r="A192" s="4">
        <v>50</v>
      </c>
      <c r="B192" s="4">
        <v>0</v>
      </c>
      <c r="C192" s="4">
        <v>0</v>
      </c>
      <c r="D192" s="4">
        <v>1</v>
      </c>
      <c r="E192" s="4">
        <v>214</v>
      </c>
      <c r="F192" s="4">
        <f>ROUND(Source!AS177,O192)</f>
        <v>2627661.65</v>
      </c>
      <c r="G192" s="4" t="s">
        <v>116</v>
      </c>
      <c r="H192" s="4" t="s">
        <v>117</v>
      </c>
      <c r="I192" s="4"/>
      <c r="J192" s="4"/>
      <c r="K192" s="4">
        <v>214</v>
      </c>
      <c r="L192" s="4">
        <v>14</v>
      </c>
      <c r="M192" s="4">
        <v>3</v>
      </c>
      <c r="N192" s="4" t="s">
        <v>3</v>
      </c>
      <c r="O192" s="4">
        <v>2</v>
      </c>
      <c r="P192" s="4"/>
    </row>
    <row r="193" spans="1:205" x14ac:dyDescent="0.2">
      <c r="A193" s="4">
        <v>50</v>
      </c>
      <c r="B193" s="4">
        <v>0</v>
      </c>
      <c r="C193" s="4">
        <v>0</v>
      </c>
      <c r="D193" s="4">
        <v>1</v>
      </c>
      <c r="E193" s="4">
        <v>215</v>
      </c>
      <c r="F193" s="4">
        <f>ROUND(Source!AT177,O193)</f>
        <v>0</v>
      </c>
      <c r="G193" s="4" t="s">
        <v>118</v>
      </c>
      <c r="H193" s="4" t="s">
        <v>119</v>
      </c>
      <c r="I193" s="4"/>
      <c r="J193" s="4"/>
      <c r="K193" s="4">
        <v>215</v>
      </c>
      <c r="L193" s="4">
        <v>15</v>
      </c>
      <c r="M193" s="4">
        <v>3</v>
      </c>
      <c r="N193" s="4" t="s">
        <v>3</v>
      </c>
      <c r="O193" s="4">
        <v>2</v>
      </c>
      <c r="P193" s="4"/>
    </row>
    <row r="194" spans="1:205" x14ac:dyDescent="0.2">
      <c r="A194" s="4">
        <v>50</v>
      </c>
      <c r="B194" s="4">
        <v>0</v>
      </c>
      <c r="C194" s="4">
        <v>0</v>
      </c>
      <c r="D194" s="4">
        <v>1</v>
      </c>
      <c r="E194" s="4">
        <v>217</v>
      </c>
      <c r="F194" s="4">
        <f>ROUND(Source!AU177,O194)</f>
        <v>72080.36</v>
      </c>
      <c r="G194" s="4" t="s">
        <v>120</v>
      </c>
      <c r="H194" s="4" t="s">
        <v>121</v>
      </c>
      <c r="I194" s="4"/>
      <c r="J194" s="4"/>
      <c r="K194" s="4">
        <v>217</v>
      </c>
      <c r="L194" s="4">
        <v>16</v>
      </c>
      <c r="M194" s="4">
        <v>3</v>
      </c>
      <c r="N194" s="4" t="s">
        <v>3</v>
      </c>
      <c r="O194" s="4">
        <v>2</v>
      </c>
      <c r="P194" s="4"/>
    </row>
    <row r="195" spans="1:205" x14ac:dyDescent="0.2">
      <c r="A195" s="4">
        <v>50</v>
      </c>
      <c r="B195" s="4">
        <v>0</v>
      </c>
      <c r="C195" s="4">
        <v>0</v>
      </c>
      <c r="D195" s="4">
        <v>1</v>
      </c>
      <c r="E195" s="4">
        <v>206</v>
      </c>
      <c r="F195" s="4">
        <f>ROUND(Source!T177,O195)</f>
        <v>0</v>
      </c>
      <c r="G195" s="4" t="s">
        <v>122</v>
      </c>
      <c r="H195" s="4" t="s">
        <v>123</v>
      </c>
      <c r="I195" s="4"/>
      <c r="J195" s="4"/>
      <c r="K195" s="4">
        <v>206</v>
      </c>
      <c r="L195" s="4">
        <v>17</v>
      </c>
      <c r="M195" s="4">
        <v>3</v>
      </c>
      <c r="N195" s="4" t="s">
        <v>3</v>
      </c>
      <c r="O195" s="4">
        <v>2</v>
      </c>
      <c r="P195" s="4"/>
    </row>
    <row r="196" spans="1:205" x14ac:dyDescent="0.2">
      <c r="A196" s="4">
        <v>50</v>
      </c>
      <c r="B196" s="4">
        <v>0</v>
      </c>
      <c r="C196" s="4">
        <v>0</v>
      </c>
      <c r="D196" s="4">
        <v>1</v>
      </c>
      <c r="E196" s="4">
        <v>207</v>
      </c>
      <c r="F196" s="4">
        <f>Source!U177</f>
        <v>1.5469368335999998</v>
      </c>
      <c r="G196" s="4" t="s">
        <v>124</v>
      </c>
      <c r="H196" s="4" t="s">
        <v>125</v>
      </c>
      <c r="I196" s="4"/>
      <c r="J196" s="4"/>
      <c r="K196" s="4">
        <v>207</v>
      </c>
      <c r="L196" s="4">
        <v>18</v>
      </c>
      <c r="M196" s="4">
        <v>3</v>
      </c>
      <c r="N196" s="4" t="s">
        <v>3</v>
      </c>
      <c r="O196" s="4">
        <v>-1</v>
      </c>
      <c r="P196" s="4"/>
    </row>
    <row r="197" spans="1:205" x14ac:dyDescent="0.2">
      <c r="A197" s="4">
        <v>50</v>
      </c>
      <c r="B197" s="4">
        <v>0</v>
      </c>
      <c r="C197" s="4">
        <v>0</v>
      </c>
      <c r="D197" s="4">
        <v>1</v>
      </c>
      <c r="E197" s="4">
        <v>208</v>
      </c>
      <c r="F197" s="4">
        <f>Source!V177</f>
        <v>0</v>
      </c>
      <c r="G197" s="4" t="s">
        <v>126</v>
      </c>
      <c r="H197" s="4" t="s">
        <v>127</v>
      </c>
      <c r="I197" s="4"/>
      <c r="J197" s="4"/>
      <c r="K197" s="4">
        <v>208</v>
      </c>
      <c r="L197" s="4">
        <v>19</v>
      </c>
      <c r="M197" s="4">
        <v>3</v>
      </c>
      <c r="N197" s="4" t="s">
        <v>3</v>
      </c>
      <c r="O197" s="4">
        <v>-1</v>
      </c>
      <c r="P197" s="4"/>
    </row>
    <row r="198" spans="1:205" x14ac:dyDescent="0.2">
      <c r="A198" s="4">
        <v>50</v>
      </c>
      <c r="B198" s="4">
        <v>0</v>
      </c>
      <c r="C198" s="4">
        <v>0</v>
      </c>
      <c r="D198" s="4">
        <v>1</v>
      </c>
      <c r="E198" s="4">
        <v>209</v>
      </c>
      <c r="F198" s="4">
        <f>ROUND(Source!W177,O198)</f>
        <v>118.19</v>
      </c>
      <c r="G198" s="4" t="s">
        <v>128</v>
      </c>
      <c r="H198" s="4" t="s">
        <v>129</v>
      </c>
      <c r="I198" s="4"/>
      <c r="J198" s="4"/>
      <c r="K198" s="4">
        <v>209</v>
      </c>
      <c r="L198" s="4">
        <v>20</v>
      </c>
      <c r="M198" s="4">
        <v>3</v>
      </c>
      <c r="N198" s="4" t="s">
        <v>3</v>
      </c>
      <c r="O198" s="4">
        <v>2</v>
      </c>
      <c r="P198" s="4"/>
    </row>
    <row r="199" spans="1:205" x14ac:dyDescent="0.2">
      <c r="A199" s="4">
        <v>50</v>
      </c>
      <c r="B199" s="4">
        <v>0</v>
      </c>
      <c r="C199" s="4">
        <v>0</v>
      </c>
      <c r="D199" s="4">
        <v>1</v>
      </c>
      <c r="E199" s="4">
        <v>210</v>
      </c>
      <c r="F199" s="4">
        <f>ROUND(Source!X177,O199)</f>
        <v>267.69</v>
      </c>
      <c r="G199" s="4" t="s">
        <v>130</v>
      </c>
      <c r="H199" s="4" t="s">
        <v>131</v>
      </c>
      <c r="I199" s="4"/>
      <c r="J199" s="4"/>
      <c r="K199" s="4">
        <v>210</v>
      </c>
      <c r="L199" s="4">
        <v>21</v>
      </c>
      <c r="M199" s="4">
        <v>3</v>
      </c>
      <c r="N199" s="4" t="s">
        <v>3</v>
      </c>
      <c r="O199" s="4">
        <v>2</v>
      </c>
      <c r="P199" s="4"/>
    </row>
    <row r="200" spans="1:205" x14ac:dyDescent="0.2">
      <c r="A200" s="4">
        <v>50</v>
      </c>
      <c r="B200" s="4">
        <v>0</v>
      </c>
      <c r="C200" s="4">
        <v>0</v>
      </c>
      <c r="D200" s="4">
        <v>1</v>
      </c>
      <c r="E200" s="4">
        <v>211</v>
      </c>
      <c r="F200" s="4">
        <f>ROUND(Source!Y177,O200)</f>
        <v>149.02000000000001</v>
      </c>
      <c r="G200" s="4" t="s">
        <v>132</v>
      </c>
      <c r="H200" s="4" t="s">
        <v>133</v>
      </c>
      <c r="I200" s="4"/>
      <c r="J200" s="4"/>
      <c r="K200" s="4">
        <v>211</v>
      </c>
      <c r="L200" s="4">
        <v>22</v>
      </c>
      <c r="M200" s="4">
        <v>3</v>
      </c>
      <c r="N200" s="4" t="s">
        <v>3</v>
      </c>
      <c r="O200" s="4">
        <v>2</v>
      </c>
      <c r="P200" s="4"/>
    </row>
    <row r="201" spans="1:205" x14ac:dyDescent="0.2">
      <c r="A201" s="4">
        <v>50</v>
      </c>
      <c r="B201" s="4">
        <v>0</v>
      </c>
      <c r="C201" s="4">
        <v>0</v>
      </c>
      <c r="D201" s="4">
        <v>1</v>
      </c>
      <c r="E201" s="4">
        <v>224</v>
      </c>
      <c r="F201" s="4">
        <f>ROUND(Source!AR177,O201)</f>
        <v>2794130.09</v>
      </c>
      <c r="G201" s="4" t="s">
        <v>134</v>
      </c>
      <c r="H201" s="4" t="s">
        <v>135</v>
      </c>
      <c r="I201" s="4"/>
      <c r="J201" s="4"/>
      <c r="K201" s="4">
        <v>224</v>
      </c>
      <c r="L201" s="4">
        <v>23</v>
      </c>
      <c r="M201" s="4">
        <v>3</v>
      </c>
      <c r="N201" s="4" t="s">
        <v>3</v>
      </c>
      <c r="O201" s="4">
        <v>2</v>
      </c>
      <c r="P201" s="4"/>
    </row>
    <row r="203" spans="1:205" x14ac:dyDescent="0.2">
      <c r="A203" s="1">
        <v>4</v>
      </c>
      <c r="B203" s="1">
        <v>1</v>
      </c>
      <c r="C203" s="1"/>
      <c r="D203" s="1">
        <f>ROW(A216)</f>
        <v>216</v>
      </c>
      <c r="E203" s="1"/>
      <c r="F203" s="1" t="s">
        <v>13</v>
      </c>
      <c r="G203" s="1" t="s">
        <v>243</v>
      </c>
      <c r="H203" s="1" t="s">
        <v>3</v>
      </c>
      <c r="I203" s="1">
        <v>0</v>
      </c>
      <c r="J203" s="1"/>
      <c r="K203" s="1">
        <v>0</v>
      </c>
      <c r="L203" s="1"/>
      <c r="M203" s="1"/>
      <c r="N203" s="1"/>
      <c r="O203" s="1"/>
      <c r="P203" s="1"/>
      <c r="Q203" s="1"/>
      <c r="R203" s="1"/>
      <c r="S203" s="1"/>
      <c r="T203" s="1"/>
      <c r="U203" s="1" t="s">
        <v>3</v>
      </c>
      <c r="V203" s="1">
        <v>0</v>
      </c>
      <c r="W203" s="1"/>
      <c r="X203" s="1"/>
      <c r="Y203" s="1"/>
      <c r="Z203" s="1"/>
      <c r="AA203" s="1"/>
      <c r="AB203" s="1" t="s">
        <v>3</v>
      </c>
      <c r="AC203" s="1" t="s">
        <v>3</v>
      </c>
      <c r="AD203" s="1" t="s">
        <v>3</v>
      </c>
      <c r="AE203" s="1" t="s">
        <v>3</v>
      </c>
      <c r="AF203" s="1" t="s">
        <v>3</v>
      </c>
      <c r="AG203" s="1" t="s">
        <v>3</v>
      </c>
      <c r="AH203" s="1"/>
      <c r="AI203" s="1"/>
      <c r="AJ203" s="1"/>
      <c r="AK203" s="1"/>
      <c r="AL203" s="1"/>
      <c r="AM203" s="1"/>
      <c r="AN203" s="1"/>
      <c r="AO203" s="1"/>
      <c r="AP203" s="1" t="s">
        <v>3</v>
      </c>
      <c r="AQ203" s="1" t="s">
        <v>3</v>
      </c>
      <c r="AR203" s="1" t="s">
        <v>3</v>
      </c>
      <c r="AS203" s="1"/>
      <c r="AT203" s="1"/>
      <c r="AU203" s="1"/>
      <c r="AV203" s="1"/>
      <c r="AW203" s="1"/>
      <c r="AX203" s="1"/>
      <c r="AY203" s="1"/>
      <c r="AZ203" s="1" t="s">
        <v>3</v>
      </c>
      <c r="BA203" s="1"/>
      <c r="BB203" s="1" t="s">
        <v>3</v>
      </c>
      <c r="BC203" s="1" t="s">
        <v>3</v>
      </c>
      <c r="BD203" s="1" t="s">
        <v>3</v>
      </c>
      <c r="BE203" s="1" t="s">
        <v>3</v>
      </c>
      <c r="BF203" s="1" t="s">
        <v>3</v>
      </c>
      <c r="BG203" s="1" t="s">
        <v>3</v>
      </c>
      <c r="BH203" s="1" t="s">
        <v>3</v>
      </c>
      <c r="BI203" s="1" t="s">
        <v>3</v>
      </c>
      <c r="BJ203" s="1" t="s">
        <v>3</v>
      </c>
      <c r="BK203" s="1" t="s">
        <v>3</v>
      </c>
      <c r="BL203" s="1" t="s">
        <v>3</v>
      </c>
      <c r="BM203" s="1" t="s">
        <v>3</v>
      </c>
      <c r="BN203" s="1" t="s">
        <v>3</v>
      </c>
      <c r="BO203" s="1" t="s">
        <v>3</v>
      </c>
      <c r="BP203" s="1" t="s">
        <v>3</v>
      </c>
      <c r="BQ203" s="1"/>
      <c r="BR203" s="1"/>
      <c r="BS203" s="1"/>
      <c r="BT203" s="1"/>
      <c r="BU203" s="1"/>
      <c r="BV203" s="1"/>
      <c r="BW203" s="1"/>
      <c r="BX203" s="1">
        <v>0</v>
      </c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>
        <v>0</v>
      </c>
    </row>
    <row r="205" spans="1:205" x14ac:dyDescent="0.2">
      <c r="A205" s="2">
        <v>52</v>
      </c>
      <c r="B205" s="2">
        <f t="shared" ref="B205:G205" si="182">B216</f>
        <v>1</v>
      </c>
      <c r="C205" s="2">
        <f t="shared" si="182"/>
        <v>4</v>
      </c>
      <c r="D205" s="2">
        <f t="shared" si="182"/>
        <v>203</v>
      </c>
      <c r="E205" s="2">
        <f t="shared" si="182"/>
        <v>0</v>
      </c>
      <c r="F205" s="2" t="str">
        <f t="shared" si="182"/>
        <v>Новый раздел</v>
      </c>
      <c r="G205" s="2" t="str">
        <f t="shared" si="182"/>
        <v>Демонтаж байпаса</v>
      </c>
      <c r="H205" s="2"/>
      <c r="I205" s="2"/>
      <c r="J205" s="2"/>
      <c r="K205" s="2"/>
      <c r="L205" s="2"/>
      <c r="M205" s="2"/>
      <c r="N205" s="2"/>
      <c r="O205" s="2">
        <f t="shared" ref="O205:AT205" si="183">O216</f>
        <v>264856.12</v>
      </c>
      <c r="P205" s="2">
        <f t="shared" si="183"/>
        <v>0</v>
      </c>
      <c r="Q205" s="2">
        <f t="shared" si="183"/>
        <v>120805.03</v>
      </c>
      <c r="R205" s="2">
        <f t="shared" si="183"/>
        <v>9543.74</v>
      </c>
      <c r="S205" s="2">
        <f t="shared" si="183"/>
        <v>144051.09</v>
      </c>
      <c r="T205" s="2">
        <f t="shared" si="183"/>
        <v>0</v>
      </c>
      <c r="U205" s="2">
        <f t="shared" si="183"/>
        <v>672.46662524503995</v>
      </c>
      <c r="V205" s="2">
        <f t="shared" si="183"/>
        <v>0</v>
      </c>
      <c r="W205" s="2">
        <f t="shared" si="183"/>
        <v>0</v>
      </c>
      <c r="X205" s="2">
        <f t="shared" si="183"/>
        <v>170430.58</v>
      </c>
      <c r="Y205" s="2">
        <f t="shared" si="183"/>
        <v>80411.47</v>
      </c>
      <c r="Z205" s="2">
        <f t="shared" si="183"/>
        <v>0</v>
      </c>
      <c r="AA205" s="2">
        <f t="shared" si="183"/>
        <v>0</v>
      </c>
      <c r="AB205" s="2">
        <f t="shared" si="183"/>
        <v>264856.12</v>
      </c>
      <c r="AC205" s="2">
        <f t="shared" si="183"/>
        <v>0</v>
      </c>
      <c r="AD205" s="2">
        <f t="shared" si="183"/>
        <v>120805.03</v>
      </c>
      <c r="AE205" s="2">
        <f t="shared" si="183"/>
        <v>9543.74</v>
      </c>
      <c r="AF205" s="2">
        <f t="shared" si="183"/>
        <v>144051.09</v>
      </c>
      <c r="AG205" s="2">
        <f t="shared" si="183"/>
        <v>0</v>
      </c>
      <c r="AH205" s="2">
        <f t="shared" si="183"/>
        <v>672.46662524503995</v>
      </c>
      <c r="AI205" s="2">
        <f t="shared" si="183"/>
        <v>0</v>
      </c>
      <c r="AJ205" s="2">
        <f t="shared" si="183"/>
        <v>0</v>
      </c>
      <c r="AK205" s="2">
        <f t="shared" si="183"/>
        <v>170430.58</v>
      </c>
      <c r="AL205" s="2">
        <f t="shared" si="183"/>
        <v>80411.47</v>
      </c>
      <c r="AM205" s="2">
        <f t="shared" si="183"/>
        <v>0</v>
      </c>
      <c r="AN205" s="2">
        <f t="shared" si="183"/>
        <v>0</v>
      </c>
      <c r="AO205" s="2">
        <f t="shared" si="183"/>
        <v>0</v>
      </c>
      <c r="AP205" s="2">
        <f t="shared" si="183"/>
        <v>0</v>
      </c>
      <c r="AQ205" s="2">
        <f t="shared" si="183"/>
        <v>0</v>
      </c>
      <c r="AR205" s="2">
        <f t="shared" si="183"/>
        <v>531636.22</v>
      </c>
      <c r="AS205" s="2">
        <f t="shared" si="183"/>
        <v>435906.88</v>
      </c>
      <c r="AT205" s="2">
        <f t="shared" si="183"/>
        <v>0</v>
      </c>
      <c r="AU205" s="2">
        <f t="shared" ref="AU205:BZ205" si="184">AU216</f>
        <v>95729.34</v>
      </c>
      <c r="AV205" s="2">
        <f t="shared" si="184"/>
        <v>0</v>
      </c>
      <c r="AW205" s="2">
        <f t="shared" si="184"/>
        <v>0</v>
      </c>
      <c r="AX205" s="2">
        <f t="shared" si="184"/>
        <v>0</v>
      </c>
      <c r="AY205" s="2">
        <f t="shared" si="184"/>
        <v>0</v>
      </c>
      <c r="AZ205" s="2">
        <f t="shared" si="184"/>
        <v>0</v>
      </c>
      <c r="BA205" s="2">
        <f t="shared" si="184"/>
        <v>0</v>
      </c>
      <c r="BB205" s="2">
        <f t="shared" si="184"/>
        <v>0</v>
      </c>
      <c r="BC205" s="2">
        <f t="shared" si="184"/>
        <v>0</v>
      </c>
      <c r="BD205" s="2">
        <f t="shared" si="184"/>
        <v>0</v>
      </c>
      <c r="BE205" s="2">
        <f t="shared" si="184"/>
        <v>531636.22</v>
      </c>
      <c r="BF205" s="2">
        <f t="shared" si="184"/>
        <v>435906.88</v>
      </c>
      <c r="BG205" s="2">
        <f t="shared" si="184"/>
        <v>0</v>
      </c>
      <c r="BH205" s="2">
        <f t="shared" si="184"/>
        <v>95729.34</v>
      </c>
      <c r="BI205" s="2">
        <f t="shared" si="184"/>
        <v>0</v>
      </c>
      <c r="BJ205" s="2">
        <f t="shared" si="184"/>
        <v>0</v>
      </c>
      <c r="BK205" s="2">
        <f t="shared" si="184"/>
        <v>0</v>
      </c>
      <c r="BL205" s="2">
        <f t="shared" si="184"/>
        <v>0</v>
      </c>
      <c r="BM205" s="2">
        <f t="shared" si="184"/>
        <v>0</v>
      </c>
      <c r="BN205" s="2">
        <f t="shared" si="184"/>
        <v>0</v>
      </c>
      <c r="BO205" s="3">
        <f t="shared" si="184"/>
        <v>0</v>
      </c>
      <c r="BP205" s="3">
        <f t="shared" si="184"/>
        <v>0</v>
      </c>
      <c r="BQ205" s="3">
        <f t="shared" si="184"/>
        <v>0</v>
      </c>
      <c r="BR205" s="3">
        <f t="shared" si="184"/>
        <v>0</v>
      </c>
      <c r="BS205" s="3">
        <f t="shared" si="184"/>
        <v>0</v>
      </c>
      <c r="BT205" s="3">
        <f t="shared" si="184"/>
        <v>0</v>
      </c>
      <c r="BU205" s="3">
        <f t="shared" si="184"/>
        <v>0</v>
      </c>
      <c r="BV205" s="3">
        <f t="shared" si="184"/>
        <v>0</v>
      </c>
      <c r="BW205" s="3">
        <f t="shared" si="184"/>
        <v>0</v>
      </c>
      <c r="BX205" s="3">
        <f t="shared" si="184"/>
        <v>0</v>
      </c>
      <c r="BY205" s="3">
        <f t="shared" si="184"/>
        <v>0</v>
      </c>
      <c r="BZ205" s="3">
        <f t="shared" si="184"/>
        <v>0</v>
      </c>
      <c r="CA205" s="3">
        <f t="shared" ref="CA205:DF205" si="185">CA216</f>
        <v>0</v>
      </c>
      <c r="CB205" s="3">
        <f t="shared" si="185"/>
        <v>0</v>
      </c>
      <c r="CC205" s="3">
        <f t="shared" si="185"/>
        <v>0</v>
      </c>
      <c r="CD205" s="3">
        <f t="shared" si="185"/>
        <v>0</v>
      </c>
      <c r="CE205" s="3">
        <f t="shared" si="185"/>
        <v>0</v>
      </c>
      <c r="CF205" s="3">
        <f t="shared" si="185"/>
        <v>0</v>
      </c>
      <c r="CG205" s="3">
        <f t="shared" si="185"/>
        <v>0</v>
      </c>
      <c r="CH205" s="3">
        <f t="shared" si="185"/>
        <v>0</v>
      </c>
      <c r="CI205" s="3">
        <f t="shared" si="185"/>
        <v>0</v>
      </c>
      <c r="CJ205" s="3">
        <f t="shared" si="185"/>
        <v>0</v>
      </c>
      <c r="CK205" s="3">
        <f t="shared" si="185"/>
        <v>0</v>
      </c>
      <c r="CL205" s="3">
        <f t="shared" si="185"/>
        <v>0</v>
      </c>
      <c r="CM205" s="3">
        <f t="shared" si="185"/>
        <v>0</v>
      </c>
      <c r="CN205" s="3">
        <f t="shared" si="185"/>
        <v>0</v>
      </c>
      <c r="CO205" s="3">
        <f t="shared" si="185"/>
        <v>0</v>
      </c>
      <c r="CP205" s="3">
        <f t="shared" si="185"/>
        <v>0</v>
      </c>
      <c r="CQ205" s="3">
        <f t="shared" si="185"/>
        <v>0</v>
      </c>
      <c r="CR205" s="3">
        <f t="shared" si="185"/>
        <v>0</v>
      </c>
      <c r="CS205" s="3">
        <f t="shared" si="185"/>
        <v>0</v>
      </c>
      <c r="CT205" s="3">
        <f t="shared" si="185"/>
        <v>0</v>
      </c>
      <c r="CU205" s="3">
        <f t="shared" si="185"/>
        <v>0</v>
      </c>
      <c r="CV205" s="3">
        <f t="shared" si="185"/>
        <v>0</v>
      </c>
      <c r="CW205" s="3">
        <f t="shared" si="185"/>
        <v>0</v>
      </c>
      <c r="CX205" s="3">
        <f t="shared" si="185"/>
        <v>0</v>
      </c>
      <c r="CY205" s="3">
        <f t="shared" si="185"/>
        <v>0</v>
      </c>
      <c r="CZ205" s="3">
        <f t="shared" si="185"/>
        <v>0</v>
      </c>
      <c r="DA205" s="3">
        <f t="shared" si="185"/>
        <v>0</v>
      </c>
      <c r="DB205" s="3">
        <f t="shared" si="185"/>
        <v>0</v>
      </c>
      <c r="DC205" s="3">
        <f t="shared" si="185"/>
        <v>0</v>
      </c>
      <c r="DD205" s="3">
        <f t="shared" si="185"/>
        <v>0</v>
      </c>
      <c r="DE205" s="3">
        <f t="shared" si="185"/>
        <v>0</v>
      </c>
      <c r="DF205" s="3">
        <f t="shared" si="185"/>
        <v>0</v>
      </c>
      <c r="DG205" s="3">
        <f t="shared" ref="DG205:DN205" si="186">DG216</f>
        <v>0</v>
      </c>
      <c r="DH205" s="3">
        <f t="shared" si="186"/>
        <v>0</v>
      </c>
      <c r="DI205" s="3">
        <f t="shared" si="186"/>
        <v>0</v>
      </c>
      <c r="DJ205" s="3">
        <f t="shared" si="186"/>
        <v>0</v>
      </c>
      <c r="DK205" s="3">
        <f t="shared" si="186"/>
        <v>0</v>
      </c>
      <c r="DL205" s="3">
        <f t="shared" si="186"/>
        <v>0</v>
      </c>
      <c r="DM205" s="3">
        <f t="shared" si="186"/>
        <v>0</v>
      </c>
      <c r="DN205" s="3">
        <f t="shared" si="186"/>
        <v>0</v>
      </c>
    </row>
    <row r="207" spans="1:205" x14ac:dyDescent="0.2">
      <c r="A207">
        <v>17</v>
      </c>
      <c r="B207">
        <v>1</v>
      </c>
      <c r="C207">
        <f>ROW(SmtRes!A80)</f>
        <v>80</v>
      </c>
      <c r="D207">
        <f>ROW(EtalonRes!A75)</f>
        <v>75</v>
      </c>
      <c r="E207" t="s">
        <v>244</v>
      </c>
      <c r="F207" t="s">
        <v>245</v>
      </c>
      <c r="G207" t="s">
        <v>246</v>
      </c>
      <c r="H207" t="s">
        <v>247</v>
      </c>
      <c r="I207">
        <f>ROUND(18*2/1000,9)</f>
        <v>3.5999999999999997E-2</v>
      </c>
      <c r="J207">
        <v>0</v>
      </c>
      <c r="O207">
        <f t="shared" ref="O207:O214" si="187">ROUND(CP207,2)</f>
        <v>12492.45</v>
      </c>
      <c r="P207">
        <f t="shared" ref="P207:P214" si="188">ROUND(CQ207*I207,2)</f>
        <v>0</v>
      </c>
      <c r="Q207">
        <f t="shared" ref="Q207:Q214" si="189">ROUND(CR207*I207,2)</f>
        <v>6234.07</v>
      </c>
      <c r="R207">
        <f t="shared" ref="R207:R214" si="190">ROUND(CS207*I207,2)</f>
        <v>2465.5</v>
      </c>
      <c r="S207">
        <f t="shared" ref="S207:S214" si="191">ROUND(CT207*I207,2)</f>
        <v>6258.38</v>
      </c>
      <c r="T207">
        <f t="shared" ref="T207:T214" si="192">ROUND(CU207*I207,2)</f>
        <v>0</v>
      </c>
      <c r="U207">
        <f t="shared" ref="U207:U214" si="193">CV207*I207</f>
        <v>26.769322799999994</v>
      </c>
      <c r="V207">
        <f t="shared" ref="V207:V214" si="194">CW207*I207</f>
        <v>0</v>
      </c>
      <c r="W207">
        <f t="shared" ref="W207:W214" si="195">ROUND(CX207*I207,2)</f>
        <v>0</v>
      </c>
      <c r="X207">
        <f t="shared" ref="X207:Y214" si="196">ROUND(CY207,2)</f>
        <v>7009.39</v>
      </c>
      <c r="Y207">
        <f t="shared" si="196"/>
        <v>3567.28</v>
      </c>
      <c r="AA207">
        <v>90163004</v>
      </c>
      <c r="AB207">
        <f t="shared" ref="AB207:AB214" si="197">ROUND((AC207+AD207+AF207),6)</f>
        <v>30006.009300000002</v>
      </c>
      <c r="AC207">
        <f>ROUND(((ES207*0)),6)</f>
        <v>0</v>
      </c>
      <c r="AD207">
        <f t="shared" ref="AD207:AF208" si="198">ROUND(((ET207*1.15*0.6)),6)</f>
        <v>20674.5183</v>
      </c>
      <c r="AE207">
        <f t="shared" si="198"/>
        <v>3676.1543999999999</v>
      </c>
      <c r="AF207">
        <f t="shared" si="198"/>
        <v>9331.491</v>
      </c>
      <c r="AG207">
        <f t="shared" ref="AG207:AG214" si="199">ROUND((AP207),6)</f>
        <v>0</v>
      </c>
      <c r="AH207">
        <f>((EW207*1.15*0.6))</f>
        <v>696.9</v>
      </c>
      <c r="AI207">
        <f>((EX207*1.15*0.6))</f>
        <v>0</v>
      </c>
      <c r="AJ207">
        <f t="shared" ref="AJ207:AJ214" si="200">ROUND((AS207),6)</f>
        <v>0</v>
      </c>
      <c r="AK207">
        <v>57069.88</v>
      </c>
      <c r="AL207">
        <v>13582.91</v>
      </c>
      <c r="AM207">
        <v>29963.07</v>
      </c>
      <c r="AN207">
        <v>5327.76</v>
      </c>
      <c r="AO207">
        <v>13523.9</v>
      </c>
      <c r="AP207">
        <v>0</v>
      </c>
      <c r="AQ207">
        <v>1010</v>
      </c>
      <c r="AR207">
        <v>0</v>
      </c>
      <c r="AS207">
        <v>0</v>
      </c>
      <c r="AT207">
        <v>112</v>
      </c>
      <c r="AU207">
        <v>57</v>
      </c>
      <c r="AV207">
        <v>1.0669999999999999</v>
      </c>
      <c r="AW207">
        <v>1.0029999999999999</v>
      </c>
      <c r="AZ207">
        <v>1</v>
      </c>
      <c r="BA207">
        <v>17.46</v>
      </c>
      <c r="BB207">
        <v>7.85</v>
      </c>
      <c r="BC207">
        <v>6</v>
      </c>
      <c r="BD207" t="s">
        <v>3</v>
      </c>
      <c r="BE207" t="s">
        <v>3</v>
      </c>
      <c r="BF207" t="s">
        <v>3</v>
      </c>
      <c r="BG207" t="s">
        <v>3</v>
      </c>
      <c r="BH207">
        <v>0</v>
      </c>
      <c r="BI207">
        <v>1</v>
      </c>
      <c r="BJ207" t="s">
        <v>248</v>
      </c>
      <c r="BM207">
        <v>142</v>
      </c>
      <c r="BN207">
        <v>0</v>
      </c>
      <c r="BO207" t="s">
        <v>245</v>
      </c>
      <c r="BP207">
        <v>1</v>
      </c>
      <c r="BQ207">
        <v>30</v>
      </c>
      <c r="BR207">
        <v>0</v>
      </c>
      <c r="BS207">
        <v>17.46</v>
      </c>
      <c r="BT207">
        <v>1</v>
      </c>
      <c r="BU207">
        <v>1</v>
      </c>
      <c r="BV207">
        <v>1</v>
      </c>
      <c r="BW207">
        <v>1</v>
      </c>
      <c r="BX207">
        <v>1</v>
      </c>
      <c r="BY207" t="s">
        <v>3</v>
      </c>
      <c r="BZ207">
        <v>112</v>
      </c>
      <c r="CA207">
        <v>57</v>
      </c>
      <c r="CF207">
        <v>0</v>
      </c>
      <c r="CG207">
        <v>0</v>
      </c>
      <c r="CM207">
        <v>0</v>
      </c>
      <c r="CN207" t="s">
        <v>3</v>
      </c>
      <c r="CO207">
        <v>0</v>
      </c>
      <c r="CP207">
        <f t="shared" ref="CP207:CP214" si="201">(P207+Q207+S207)</f>
        <v>12492.45</v>
      </c>
      <c r="CQ207">
        <f t="shared" ref="CQ207:CQ214" si="202">(AC207*BC207*AW207)</f>
        <v>0</v>
      </c>
      <c r="CR207">
        <f t="shared" ref="CR207:CR214" si="203">(AD207*BB207*AV207)</f>
        <v>173168.73155488499</v>
      </c>
      <c r="CS207">
        <f t="shared" ref="CS207:CS214" si="204">(AE207*BS207*AV207)</f>
        <v>68486.094764207999</v>
      </c>
      <c r="CT207">
        <f t="shared" ref="CT207:CT214" si="205">(AF207*BA207*AV207)</f>
        <v>173843.99766162</v>
      </c>
      <c r="CU207">
        <f t="shared" ref="CU207:CU214" si="206">AG207</f>
        <v>0</v>
      </c>
      <c r="CV207">
        <f t="shared" ref="CV207:CV214" si="207">(AH207*AV207)</f>
        <v>743.59229999999991</v>
      </c>
      <c r="CW207">
        <f t="shared" ref="CW207:CX214" si="208">AI207</f>
        <v>0</v>
      </c>
      <c r="CX207">
        <f t="shared" si="208"/>
        <v>0</v>
      </c>
      <c r="CY207">
        <f t="shared" ref="CY207:CY214" si="209">S207*(BZ207/100)</f>
        <v>7009.3856000000005</v>
      </c>
      <c r="CZ207">
        <f t="shared" ref="CZ207:CZ214" si="210">S207*(CA207/100)</f>
        <v>3567.2765999999997</v>
      </c>
      <c r="DC207" t="s">
        <v>3</v>
      </c>
      <c r="DD207" t="s">
        <v>164</v>
      </c>
      <c r="DE207" t="s">
        <v>249</v>
      </c>
      <c r="DF207" t="s">
        <v>249</v>
      </c>
      <c r="DG207" t="s">
        <v>249</v>
      </c>
      <c r="DH207" t="s">
        <v>3</v>
      </c>
      <c r="DI207" t="s">
        <v>249</v>
      </c>
      <c r="DJ207" t="s">
        <v>249</v>
      </c>
      <c r="DK207" t="s">
        <v>3</v>
      </c>
      <c r="DL207" t="s">
        <v>3</v>
      </c>
      <c r="DM207" t="s">
        <v>3</v>
      </c>
      <c r="DN207">
        <v>133</v>
      </c>
      <c r="DO207">
        <v>113</v>
      </c>
      <c r="DP207">
        <v>1.0669999999999999</v>
      </c>
      <c r="DQ207">
        <v>1.0029999999999999</v>
      </c>
      <c r="DU207">
        <v>1003</v>
      </c>
      <c r="DV207" t="s">
        <v>247</v>
      </c>
      <c r="DW207" t="s">
        <v>247</v>
      </c>
      <c r="DX207">
        <v>1000</v>
      </c>
      <c r="EE207">
        <v>33194062</v>
      </c>
      <c r="EF207">
        <v>30</v>
      </c>
      <c r="EG207" t="s">
        <v>48</v>
      </c>
      <c r="EH207">
        <v>0</v>
      </c>
      <c r="EI207" t="s">
        <v>3</v>
      </c>
      <c r="EJ207">
        <v>1</v>
      </c>
      <c r="EK207">
        <v>142</v>
      </c>
      <c r="EL207" t="s">
        <v>49</v>
      </c>
      <c r="EM207" t="s">
        <v>50</v>
      </c>
      <c r="EO207" t="s">
        <v>3</v>
      </c>
      <c r="EQ207">
        <v>0</v>
      </c>
      <c r="ER207">
        <v>57069.88</v>
      </c>
      <c r="ES207">
        <v>13582.91</v>
      </c>
      <c r="ET207">
        <v>29963.07</v>
      </c>
      <c r="EU207">
        <v>5327.76</v>
      </c>
      <c r="EV207">
        <v>13523.9</v>
      </c>
      <c r="EW207">
        <v>1010</v>
      </c>
      <c r="EX207">
        <v>0</v>
      </c>
      <c r="EY207">
        <v>0</v>
      </c>
      <c r="FQ207">
        <v>0</v>
      </c>
      <c r="FR207">
        <f t="shared" ref="FR207:FR214" si="211">ROUND(IF(AND(BH207=3,BI207=3),P207,0),2)</f>
        <v>0</v>
      </c>
      <c r="FS207">
        <v>0</v>
      </c>
      <c r="FX207">
        <v>133</v>
      </c>
      <c r="FY207">
        <v>113</v>
      </c>
      <c r="GA207" t="s">
        <v>3</v>
      </c>
      <c r="GD207">
        <v>0</v>
      </c>
      <c r="GF207">
        <v>-764258820</v>
      </c>
      <c r="GG207">
        <v>2</v>
      </c>
      <c r="GH207">
        <v>1</v>
      </c>
      <c r="GI207">
        <v>2</v>
      </c>
      <c r="GJ207">
        <v>0</v>
      </c>
      <c r="GK207">
        <f>ROUND(R207*(R12)/100,2)</f>
        <v>4117.3900000000003</v>
      </c>
      <c r="GL207">
        <f t="shared" ref="GL207:GL214" si="212">ROUND(IF(AND(BH207=3,BI207=3,FS207&lt;&gt;0),P207,0),2)</f>
        <v>0</v>
      </c>
      <c r="GM207">
        <f t="shared" ref="GM207:GM214" si="213">O207+X207+Y207+GK207</f>
        <v>27186.51</v>
      </c>
      <c r="GN207">
        <f t="shared" ref="GN207:GN214" si="214">ROUND(IF(OR(BI207=0,BI207=1),O207+X207+Y207+GK207,0),2)</f>
        <v>27186.51</v>
      </c>
      <c r="GO207">
        <f t="shared" ref="GO207:GO214" si="215">ROUND(IF(BI207=2,O207+X207+Y207+GK207,0),2)</f>
        <v>0</v>
      </c>
      <c r="GP207">
        <f t="shared" ref="GP207:GP214" si="216">ROUND(IF(BI207=4,O207+X207+Y207+GK207,0),2)</f>
        <v>0</v>
      </c>
      <c r="GR207">
        <v>0</v>
      </c>
      <c r="GT207">
        <v>0</v>
      </c>
      <c r="GU207">
        <v>1</v>
      </c>
      <c r="GV207">
        <v>0</v>
      </c>
      <c r="GW207">
        <v>0</v>
      </c>
    </row>
    <row r="208" spans="1:205" x14ac:dyDescent="0.2">
      <c r="A208">
        <v>17</v>
      </c>
      <c r="B208">
        <v>1</v>
      </c>
      <c r="C208">
        <f>ROW(SmtRes!A99)</f>
        <v>99</v>
      </c>
      <c r="D208">
        <f>ROW(EtalonRes!A94)</f>
        <v>94</v>
      </c>
      <c r="E208" t="s">
        <v>250</v>
      </c>
      <c r="F208" t="s">
        <v>251</v>
      </c>
      <c r="G208" t="s">
        <v>252</v>
      </c>
      <c r="H208" t="s">
        <v>247</v>
      </c>
      <c r="I208">
        <f>ROUND(12*2/1000,9)</f>
        <v>2.4E-2</v>
      </c>
      <c r="J208">
        <v>0</v>
      </c>
      <c r="O208">
        <f t="shared" si="187"/>
        <v>4332.84</v>
      </c>
      <c r="P208">
        <f t="shared" si="188"/>
        <v>0</v>
      </c>
      <c r="Q208">
        <f t="shared" si="189"/>
        <v>1783.56</v>
      </c>
      <c r="R208">
        <f t="shared" si="190"/>
        <v>629.73</v>
      </c>
      <c r="S208">
        <f t="shared" si="191"/>
        <v>2549.2800000000002</v>
      </c>
      <c r="T208">
        <f t="shared" si="192"/>
        <v>0</v>
      </c>
      <c r="U208">
        <f t="shared" si="193"/>
        <v>11.06111952</v>
      </c>
      <c r="V208">
        <f t="shared" si="194"/>
        <v>0</v>
      </c>
      <c r="W208">
        <f t="shared" si="195"/>
        <v>0</v>
      </c>
      <c r="X208">
        <f t="shared" si="196"/>
        <v>2855.19</v>
      </c>
      <c r="Y208">
        <f t="shared" si="196"/>
        <v>1453.09</v>
      </c>
      <c r="AA208">
        <v>90163004</v>
      </c>
      <c r="AB208">
        <f t="shared" si="197"/>
        <v>14805.9717</v>
      </c>
      <c r="AC208">
        <f>ROUND(((ES208*0)),6)</f>
        <v>0</v>
      </c>
      <c r="AD208">
        <f t="shared" si="198"/>
        <v>9104.3636999999999</v>
      </c>
      <c r="AE208">
        <f t="shared" si="198"/>
        <v>1408.4280000000001</v>
      </c>
      <c r="AF208">
        <f t="shared" si="198"/>
        <v>5701.6080000000002</v>
      </c>
      <c r="AG208">
        <f t="shared" si="199"/>
        <v>0</v>
      </c>
      <c r="AH208">
        <f>((EW208*1.15*0.6))</f>
        <v>431.94</v>
      </c>
      <c r="AI208">
        <f>((EX208*1.15*0.6))</f>
        <v>0</v>
      </c>
      <c r="AJ208">
        <f t="shared" si="200"/>
        <v>0</v>
      </c>
      <c r="AK208">
        <v>33046.769999999997</v>
      </c>
      <c r="AL208">
        <v>11588.84</v>
      </c>
      <c r="AM208">
        <v>13194.73</v>
      </c>
      <c r="AN208">
        <v>2041.2</v>
      </c>
      <c r="AO208">
        <v>8263.2000000000007</v>
      </c>
      <c r="AP208">
        <v>0</v>
      </c>
      <c r="AQ208">
        <v>626</v>
      </c>
      <c r="AR208">
        <v>0</v>
      </c>
      <c r="AS208">
        <v>0</v>
      </c>
      <c r="AT208">
        <v>112</v>
      </c>
      <c r="AU208">
        <v>57</v>
      </c>
      <c r="AV208">
        <v>1.0669999999999999</v>
      </c>
      <c r="AW208">
        <v>1.0029999999999999</v>
      </c>
      <c r="AZ208">
        <v>1</v>
      </c>
      <c r="BA208">
        <v>17.46</v>
      </c>
      <c r="BB208">
        <v>7.65</v>
      </c>
      <c r="BC208">
        <v>7.43</v>
      </c>
      <c r="BD208" t="s">
        <v>3</v>
      </c>
      <c r="BE208" t="s">
        <v>3</v>
      </c>
      <c r="BF208" t="s">
        <v>3</v>
      </c>
      <c r="BG208" t="s">
        <v>3</v>
      </c>
      <c r="BH208">
        <v>0</v>
      </c>
      <c r="BI208">
        <v>1</v>
      </c>
      <c r="BJ208" t="s">
        <v>253</v>
      </c>
      <c r="BM208">
        <v>142</v>
      </c>
      <c r="BN208">
        <v>0</v>
      </c>
      <c r="BO208" t="s">
        <v>251</v>
      </c>
      <c r="BP208">
        <v>1</v>
      </c>
      <c r="BQ208">
        <v>30</v>
      </c>
      <c r="BR208">
        <v>0</v>
      </c>
      <c r="BS208">
        <v>17.46</v>
      </c>
      <c r="BT208">
        <v>1</v>
      </c>
      <c r="BU208">
        <v>1</v>
      </c>
      <c r="BV208">
        <v>1</v>
      </c>
      <c r="BW208">
        <v>1</v>
      </c>
      <c r="BX208">
        <v>1</v>
      </c>
      <c r="BY208" t="s">
        <v>3</v>
      </c>
      <c r="BZ208">
        <v>112</v>
      </c>
      <c r="CA208">
        <v>57</v>
      </c>
      <c r="CF208">
        <v>0</v>
      </c>
      <c r="CG208">
        <v>0</v>
      </c>
      <c r="CM208">
        <v>0</v>
      </c>
      <c r="CN208" t="s">
        <v>3</v>
      </c>
      <c r="CO208">
        <v>0</v>
      </c>
      <c r="CP208">
        <f t="shared" si="201"/>
        <v>4332.84</v>
      </c>
      <c r="CQ208">
        <f t="shared" si="202"/>
        <v>0</v>
      </c>
      <c r="CR208">
        <f t="shared" si="203"/>
        <v>74314.823919435003</v>
      </c>
      <c r="CS208">
        <f t="shared" si="204"/>
        <v>26238.76012296</v>
      </c>
      <c r="CT208">
        <f t="shared" si="205"/>
        <v>106219.93075056</v>
      </c>
      <c r="CU208">
        <f t="shared" si="206"/>
        <v>0</v>
      </c>
      <c r="CV208">
        <f t="shared" si="207"/>
        <v>460.87997999999999</v>
      </c>
      <c r="CW208">
        <f t="shared" si="208"/>
        <v>0</v>
      </c>
      <c r="CX208">
        <f t="shared" si="208"/>
        <v>0</v>
      </c>
      <c r="CY208">
        <f t="shared" si="209"/>
        <v>2855.1936000000005</v>
      </c>
      <c r="CZ208">
        <f t="shared" si="210"/>
        <v>1453.0896</v>
      </c>
      <c r="DC208" t="s">
        <v>3</v>
      </c>
      <c r="DD208" t="s">
        <v>164</v>
      </c>
      <c r="DE208" t="s">
        <v>249</v>
      </c>
      <c r="DF208" t="s">
        <v>249</v>
      </c>
      <c r="DG208" t="s">
        <v>249</v>
      </c>
      <c r="DH208" t="s">
        <v>3</v>
      </c>
      <c r="DI208" t="s">
        <v>249</v>
      </c>
      <c r="DJ208" t="s">
        <v>249</v>
      </c>
      <c r="DK208" t="s">
        <v>3</v>
      </c>
      <c r="DL208" t="s">
        <v>3</v>
      </c>
      <c r="DM208" t="s">
        <v>3</v>
      </c>
      <c r="DN208">
        <v>133</v>
      </c>
      <c r="DO208">
        <v>113</v>
      </c>
      <c r="DP208">
        <v>1.0669999999999999</v>
      </c>
      <c r="DQ208">
        <v>1.0029999999999999</v>
      </c>
      <c r="DU208">
        <v>1003</v>
      </c>
      <c r="DV208" t="s">
        <v>247</v>
      </c>
      <c r="DW208" t="s">
        <v>247</v>
      </c>
      <c r="DX208">
        <v>1000</v>
      </c>
      <c r="EE208">
        <v>33194062</v>
      </c>
      <c r="EF208">
        <v>30</v>
      </c>
      <c r="EG208" t="s">
        <v>48</v>
      </c>
      <c r="EH208">
        <v>0</v>
      </c>
      <c r="EI208" t="s">
        <v>3</v>
      </c>
      <c r="EJ208">
        <v>1</v>
      </c>
      <c r="EK208">
        <v>142</v>
      </c>
      <c r="EL208" t="s">
        <v>49</v>
      </c>
      <c r="EM208" t="s">
        <v>50</v>
      </c>
      <c r="EO208" t="s">
        <v>3</v>
      </c>
      <c r="EQ208">
        <v>0</v>
      </c>
      <c r="ER208">
        <v>33046.769999999997</v>
      </c>
      <c r="ES208">
        <v>11588.84</v>
      </c>
      <c r="ET208">
        <v>13194.73</v>
      </c>
      <c r="EU208">
        <v>2041.2</v>
      </c>
      <c r="EV208">
        <v>8263.2000000000007</v>
      </c>
      <c r="EW208">
        <v>626</v>
      </c>
      <c r="EX208">
        <v>0</v>
      </c>
      <c r="EY208">
        <v>0</v>
      </c>
      <c r="FQ208">
        <v>0</v>
      </c>
      <c r="FR208">
        <f t="shared" si="211"/>
        <v>0</v>
      </c>
      <c r="FS208">
        <v>0</v>
      </c>
      <c r="FX208">
        <v>133</v>
      </c>
      <c r="FY208">
        <v>113</v>
      </c>
      <c r="GA208" t="s">
        <v>3</v>
      </c>
      <c r="GD208">
        <v>0</v>
      </c>
      <c r="GF208">
        <v>1825117650</v>
      </c>
      <c r="GG208">
        <v>2</v>
      </c>
      <c r="GH208">
        <v>1</v>
      </c>
      <c r="GI208">
        <v>2</v>
      </c>
      <c r="GJ208">
        <v>0</v>
      </c>
      <c r="GK208">
        <f>ROUND(R208*(R12)/100,2)</f>
        <v>1051.6500000000001</v>
      </c>
      <c r="GL208">
        <f t="shared" si="212"/>
        <v>0</v>
      </c>
      <c r="GM208">
        <f t="shared" si="213"/>
        <v>9692.77</v>
      </c>
      <c r="GN208">
        <f t="shared" si="214"/>
        <v>9692.77</v>
      </c>
      <c r="GO208">
        <f t="shared" si="215"/>
        <v>0</v>
      </c>
      <c r="GP208">
        <f t="shared" si="216"/>
        <v>0</v>
      </c>
      <c r="GR208">
        <v>0</v>
      </c>
      <c r="GT208">
        <v>0</v>
      </c>
      <c r="GU208">
        <v>1</v>
      </c>
      <c r="GV208">
        <v>0</v>
      </c>
      <c r="GW208">
        <v>0</v>
      </c>
    </row>
    <row r="209" spans="1:205" x14ac:dyDescent="0.2">
      <c r="A209">
        <v>17</v>
      </c>
      <c r="B209">
        <v>1</v>
      </c>
      <c r="C209">
        <f>ROW(SmtRes!A100)</f>
        <v>100</v>
      </c>
      <c r="D209">
        <f>ROW(EtalonRes!A95)</f>
        <v>95</v>
      </c>
      <c r="E209" t="s">
        <v>254</v>
      </c>
      <c r="F209" t="s">
        <v>255</v>
      </c>
      <c r="G209" t="s">
        <v>256</v>
      </c>
      <c r="H209" t="s">
        <v>257</v>
      </c>
      <c r="I209">
        <f>ROUND((68.5+28.56)/100,9)</f>
        <v>0.97060000000000002</v>
      </c>
      <c r="J209">
        <v>0</v>
      </c>
      <c r="O209">
        <f t="shared" si="187"/>
        <v>4137.1899999999996</v>
      </c>
      <c r="P209">
        <f t="shared" si="188"/>
        <v>0</v>
      </c>
      <c r="Q209">
        <f t="shared" si="189"/>
        <v>0</v>
      </c>
      <c r="R209">
        <f t="shared" si="190"/>
        <v>0</v>
      </c>
      <c r="S209">
        <f t="shared" si="191"/>
        <v>4137.1899999999996</v>
      </c>
      <c r="T209">
        <f t="shared" si="192"/>
        <v>0</v>
      </c>
      <c r="U209">
        <f t="shared" si="193"/>
        <v>21.758590502000001</v>
      </c>
      <c r="V209">
        <f t="shared" si="194"/>
        <v>0</v>
      </c>
      <c r="W209">
        <f t="shared" si="195"/>
        <v>0</v>
      </c>
      <c r="X209">
        <f t="shared" si="196"/>
        <v>4095.82</v>
      </c>
      <c r="Y209">
        <f t="shared" si="196"/>
        <v>1820.36</v>
      </c>
      <c r="AA209">
        <v>90163004</v>
      </c>
      <c r="AB209">
        <f t="shared" si="197"/>
        <v>228.8</v>
      </c>
      <c r="AC209">
        <f>ROUND((ES209),6)</f>
        <v>0</v>
      </c>
      <c r="AD209">
        <f>ROUND(((ET209*1.1)),6)</f>
        <v>0</v>
      </c>
      <c r="AE209">
        <f>ROUND(((EU209*1.1)),6)</f>
        <v>0</v>
      </c>
      <c r="AF209">
        <f>ROUND(((EV209*1.1)),6)</f>
        <v>228.8</v>
      </c>
      <c r="AG209">
        <f t="shared" si="199"/>
        <v>0</v>
      </c>
      <c r="AH209">
        <f>((EW209*1.1))</f>
        <v>21.01</v>
      </c>
      <c r="AI209">
        <f>((EX209*1.1))</f>
        <v>0</v>
      </c>
      <c r="AJ209">
        <f t="shared" si="200"/>
        <v>0</v>
      </c>
      <c r="AK209">
        <v>208</v>
      </c>
      <c r="AL209">
        <v>0</v>
      </c>
      <c r="AM209">
        <v>0</v>
      </c>
      <c r="AN209">
        <v>0</v>
      </c>
      <c r="AO209">
        <v>208</v>
      </c>
      <c r="AP209">
        <v>0</v>
      </c>
      <c r="AQ209">
        <v>19.100000000000001</v>
      </c>
      <c r="AR209">
        <v>0</v>
      </c>
      <c r="AS209">
        <v>0</v>
      </c>
      <c r="AT209">
        <v>99</v>
      </c>
      <c r="AU209">
        <v>44</v>
      </c>
      <c r="AV209">
        <v>1.0669999999999999</v>
      </c>
      <c r="AW209">
        <v>1.0029999999999999</v>
      </c>
      <c r="AZ209">
        <v>1</v>
      </c>
      <c r="BA209">
        <v>17.46</v>
      </c>
      <c r="BB209">
        <v>1</v>
      </c>
      <c r="BC209">
        <v>1</v>
      </c>
      <c r="BD209" t="s">
        <v>3</v>
      </c>
      <c r="BE209" t="s">
        <v>3</v>
      </c>
      <c r="BF209" t="s">
        <v>3</v>
      </c>
      <c r="BG209" t="s">
        <v>3</v>
      </c>
      <c r="BH209">
        <v>0</v>
      </c>
      <c r="BI209">
        <v>1</v>
      </c>
      <c r="BJ209" t="s">
        <v>258</v>
      </c>
      <c r="BM209">
        <v>651</v>
      </c>
      <c r="BN209">
        <v>0</v>
      </c>
      <c r="BO209" t="s">
        <v>255</v>
      </c>
      <c r="BP209">
        <v>1</v>
      </c>
      <c r="BQ209">
        <v>60</v>
      </c>
      <c r="BR209">
        <v>0</v>
      </c>
      <c r="BS209">
        <v>17.46</v>
      </c>
      <c r="BT209">
        <v>1</v>
      </c>
      <c r="BU209">
        <v>1</v>
      </c>
      <c r="BV209">
        <v>1</v>
      </c>
      <c r="BW209">
        <v>1</v>
      </c>
      <c r="BX209">
        <v>1</v>
      </c>
      <c r="BY209" t="s">
        <v>3</v>
      </c>
      <c r="BZ209">
        <v>99</v>
      </c>
      <c r="CA209">
        <v>44</v>
      </c>
      <c r="CF209">
        <v>0</v>
      </c>
      <c r="CG209">
        <v>0</v>
      </c>
      <c r="CM209">
        <v>0</v>
      </c>
      <c r="CN209" t="s">
        <v>3</v>
      </c>
      <c r="CO209">
        <v>0</v>
      </c>
      <c r="CP209">
        <f t="shared" si="201"/>
        <v>4137.1899999999996</v>
      </c>
      <c r="CQ209">
        <f t="shared" si="202"/>
        <v>0</v>
      </c>
      <c r="CR209">
        <f t="shared" si="203"/>
        <v>0</v>
      </c>
      <c r="CS209">
        <f t="shared" si="204"/>
        <v>0</v>
      </c>
      <c r="CT209">
        <f t="shared" si="205"/>
        <v>4262.5028160000002</v>
      </c>
      <c r="CU209">
        <f t="shared" si="206"/>
        <v>0</v>
      </c>
      <c r="CV209">
        <f t="shared" si="207"/>
        <v>22.417670000000001</v>
      </c>
      <c r="CW209">
        <f t="shared" si="208"/>
        <v>0</v>
      </c>
      <c r="CX209">
        <f t="shared" si="208"/>
        <v>0</v>
      </c>
      <c r="CY209">
        <f t="shared" si="209"/>
        <v>4095.8180999999995</v>
      </c>
      <c r="CZ209">
        <f t="shared" si="210"/>
        <v>1820.3635999999999</v>
      </c>
      <c r="DC209" t="s">
        <v>3</v>
      </c>
      <c r="DD209" t="s">
        <v>3</v>
      </c>
      <c r="DE209" t="s">
        <v>172</v>
      </c>
      <c r="DF209" t="s">
        <v>172</v>
      </c>
      <c r="DG209" t="s">
        <v>172</v>
      </c>
      <c r="DH209" t="s">
        <v>3</v>
      </c>
      <c r="DI209" t="s">
        <v>172</v>
      </c>
      <c r="DJ209" t="s">
        <v>172</v>
      </c>
      <c r="DK209" t="s">
        <v>3</v>
      </c>
      <c r="DL209" t="s">
        <v>3</v>
      </c>
      <c r="DM209" t="s">
        <v>3</v>
      </c>
      <c r="DN209">
        <v>116</v>
      </c>
      <c r="DO209">
        <v>68</v>
      </c>
      <c r="DP209">
        <v>1.0669999999999999</v>
      </c>
      <c r="DQ209">
        <v>1.0029999999999999</v>
      </c>
      <c r="DU209">
        <v>1005</v>
      </c>
      <c r="DV209" t="s">
        <v>257</v>
      </c>
      <c r="DW209" t="s">
        <v>257</v>
      </c>
      <c r="DX209">
        <v>100</v>
      </c>
      <c r="EE209">
        <v>33195485</v>
      </c>
      <c r="EF209">
        <v>60</v>
      </c>
      <c r="EG209" t="s">
        <v>173</v>
      </c>
      <c r="EH209">
        <v>0</v>
      </c>
      <c r="EI209" t="s">
        <v>3</v>
      </c>
      <c r="EJ209">
        <v>1</v>
      </c>
      <c r="EK209">
        <v>651</v>
      </c>
      <c r="EL209" t="s">
        <v>259</v>
      </c>
      <c r="EM209" t="s">
        <v>260</v>
      </c>
      <c r="EO209" t="s">
        <v>3</v>
      </c>
      <c r="EQ209">
        <v>0</v>
      </c>
      <c r="ER209">
        <v>208</v>
      </c>
      <c r="ES209">
        <v>0</v>
      </c>
      <c r="ET209">
        <v>0</v>
      </c>
      <c r="EU209">
        <v>0</v>
      </c>
      <c r="EV209">
        <v>208</v>
      </c>
      <c r="EW209">
        <v>19.100000000000001</v>
      </c>
      <c r="EX209">
        <v>0</v>
      </c>
      <c r="EY209">
        <v>0</v>
      </c>
      <c r="FQ209">
        <v>0</v>
      </c>
      <c r="FR209">
        <f t="shared" si="211"/>
        <v>0</v>
      </c>
      <c r="FS209">
        <v>0</v>
      </c>
      <c r="FX209">
        <v>116</v>
      </c>
      <c r="FY209">
        <v>68</v>
      </c>
      <c r="GA209" t="s">
        <v>3</v>
      </c>
      <c r="GD209">
        <v>0</v>
      </c>
      <c r="GF209">
        <v>-1387192312</v>
      </c>
      <c r="GG209">
        <v>2</v>
      </c>
      <c r="GH209">
        <v>1</v>
      </c>
      <c r="GI209">
        <v>2</v>
      </c>
      <c r="GJ209">
        <v>0</v>
      </c>
      <c r="GK209">
        <f>ROUND(R209*(R12)/100,2)</f>
        <v>0</v>
      </c>
      <c r="GL209">
        <f t="shared" si="212"/>
        <v>0</v>
      </c>
      <c r="GM209">
        <f t="shared" si="213"/>
        <v>10053.370000000001</v>
      </c>
      <c r="GN209">
        <f t="shared" si="214"/>
        <v>10053.370000000001</v>
      </c>
      <c r="GO209">
        <f t="shared" si="215"/>
        <v>0</v>
      </c>
      <c r="GP209">
        <f t="shared" si="216"/>
        <v>0</v>
      </c>
      <c r="GR209">
        <v>0</v>
      </c>
      <c r="GT209">
        <v>0</v>
      </c>
      <c r="GU209">
        <v>1</v>
      </c>
      <c r="GV209">
        <v>0</v>
      </c>
      <c r="GW209">
        <v>0</v>
      </c>
    </row>
    <row r="210" spans="1:205" x14ac:dyDescent="0.2">
      <c r="A210">
        <v>17</v>
      </c>
      <c r="B210">
        <v>1</v>
      </c>
      <c r="C210">
        <f>ROW(SmtRes!A106)</f>
        <v>106</v>
      </c>
      <c r="D210">
        <f>ROW(EtalonRes!A101)</f>
        <v>101</v>
      </c>
      <c r="E210" t="s">
        <v>261</v>
      </c>
      <c r="F210" t="s">
        <v>262</v>
      </c>
      <c r="G210" t="s">
        <v>263</v>
      </c>
      <c r="H210" t="s">
        <v>151</v>
      </c>
      <c r="I210">
        <f>ROUND(I209*100,9)</f>
        <v>97.06</v>
      </c>
      <c r="J210">
        <v>0</v>
      </c>
      <c r="O210">
        <f t="shared" si="187"/>
        <v>33980.29</v>
      </c>
      <c r="P210">
        <f t="shared" si="188"/>
        <v>0</v>
      </c>
      <c r="Q210">
        <f t="shared" si="189"/>
        <v>2149.04</v>
      </c>
      <c r="R210">
        <f t="shared" si="190"/>
        <v>954.94</v>
      </c>
      <c r="S210">
        <f t="shared" si="191"/>
        <v>31831.25</v>
      </c>
      <c r="T210">
        <f t="shared" si="192"/>
        <v>0</v>
      </c>
      <c r="U210">
        <f t="shared" si="193"/>
        <v>140.2381116</v>
      </c>
      <c r="V210">
        <f t="shared" si="194"/>
        <v>0</v>
      </c>
      <c r="W210">
        <f t="shared" si="195"/>
        <v>0</v>
      </c>
      <c r="X210">
        <f t="shared" si="196"/>
        <v>26419.94</v>
      </c>
      <c r="Y210">
        <f t="shared" si="196"/>
        <v>14005.75</v>
      </c>
      <c r="AA210">
        <v>90163004</v>
      </c>
      <c r="AB210">
        <f t="shared" si="197"/>
        <v>20.679300000000001</v>
      </c>
      <c r="AC210">
        <f>ROUND(((ES210*0)),6)</f>
        <v>0</v>
      </c>
      <c r="AD210">
        <f>ROUND(((ET210*1.15*0.6)),6)</f>
        <v>2.7393000000000001</v>
      </c>
      <c r="AE210">
        <f>ROUND(((EU210*1.15*0.6)),6)</f>
        <v>0.53820000000000001</v>
      </c>
      <c r="AF210">
        <f>ROUND(((EV210*1.15*0.6)),6)</f>
        <v>17.940000000000001</v>
      </c>
      <c r="AG210">
        <f t="shared" si="199"/>
        <v>0</v>
      </c>
      <c r="AH210">
        <f>((EW210*1.15*0.6))</f>
        <v>1.38</v>
      </c>
      <c r="AI210">
        <f>((EX210*1.15*0.6))</f>
        <v>0</v>
      </c>
      <c r="AJ210">
        <f t="shared" si="200"/>
        <v>0</v>
      </c>
      <c r="AK210">
        <v>96.87</v>
      </c>
      <c r="AL210">
        <v>66.900000000000006</v>
      </c>
      <c r="AM210">
        <v>3.97</v>
      </c>
      <c r="AN210">
        <v>0.78</v>
      </c>
      <c r="AO210">
        <v>26</v>
      </c>
      <c r="AP210">
        <v>0</v>
      </c>
      <c r="AQ210">
        <v>2</v>
      </c>
      <c r="AR210">
        <v>0</v>
      </c>
      <c r="AS210">
        <v>0</v>
      </c>
      <c r="AT210">
        <v>83</v>
      </c>
      <c r="AU210">
        <v>44</v>
      </c>
      <c r="AV210">
        <v>1.0469999999999999</v>
      </c>
      <c r="AW210">
        <v>1.0189999999999999</v>
      </c>
      <c r="AZ210">
        <v>1</v>
      </c>
      <c r="BA210">
        <v>17.46</v>
      </c>
      <c r="BB210">
        <v>7.72</v>
      </c>
      <c r="BC210">
        <v>3.51</v>
      </c>
      <c r="BD210" t="s">
        <v>3</v>
      </c>
      <c r="BE210" t="s">
        <v>3</v>
      </c>
      <c r="BF210" t="s">
        <v>3</v>
      </c>
      <c r="BG210" t="s">
        <v>3</v>
      </c>
      <c r="BH210">
        <v>0</v>
      </c>
      <c r="BI210">
        <v>1</v>
      </c>
      <c r="BJ210" t="s">
        <v>264</v>
      </c>
      <c r="BM210">
        <v>143</v>
      </c>
      <c r="BN210">
        <v>0</v>
      </c>
      <c r="BO210" t="s">
        <v>262</v>
      </c>
      <c r="BP210">
        <v>1</v>
      </c>
      <c r="BQ210">
        <v>30</v>
      </c>
      <c r="BR210">
        <v>0</v>
      </c>
      <c r="BS210">
        <v>17.46</v>
      </c>
      <c r="BT210">
        <v>1</v>
      </c>
      <c r="BU210">
        <v>1</v>
      </c>
      <c r="BV210">
        <v>1</v>
      </c>
      <c r="BW210">
        <v>1</v>
      </c>
      <c r="BX210">
        <v>1</v>
      </c>
      <c r="BY210" t="s">
        <v>3</v>
      </c>
      <c r="BZ210">
        <v>83</v>
      </c>
      <c r="CA210">
        <v>44</v>
      </c>
      <c r="CF210">
        <v>0</v>
      </c>
      <c r="CG210">
        <v>0</v>
      </c>
      <c r="CM210">
        <v>0</v>
      </c>
      <c r="CN210" t="s">
        <v>3</v>
      </c>
      <c r="CO210">
        <v>0</v>
      </c>
      <c r="CP210">
        <f t="shared" si="201"/>
        <v>33980.29</v>
      </c>
      <c r="CQ210">
        <f t="shared" si="202"/>
        <v>0</v>
      </c>
      <c r="CR210">
        <f t="shared" si="203"/>
        <v>22.141323612000001</v>
      </c>
      <c r="CS210">
        <f t="shared" si="204"/>
        <v>9.8386296839999989</v>
      </c>
      <c r="CT210">
        <f t="shared" si="205"/>
        <v>327.9543228</v>
      </c>
      <c r="CU210">
        <f t="shared" si="206"/>
        <v>0</v>
      </c>
      <c r="CV210">
        <f t="shared" si="207"/>
        <v>1.4448599999999998</v>
      </c>
      <c r="CW210">
        <f t="shared" si="208"/>
        <v>0</v>
      </c>
      <c r="CX210">
        <f t="shared" si="208"/>
        <v>0</v>
      </c>
      <c r="CY210">
        <f t="shared" si="209"/>
        <v>26419.9375</v>
      </c>
      <c r="CZ210">
        <f t="shared" si="210"/>
        <v>14005.75</v>
      </c>
      <c r="DC210" t="s">
        <v>3</v>
      </c>
      <c r="DD210" t="s">
        <v>164</v>
      </c>
      <c r="DE210" t="s">
        <v>249</v>
      </c>
      <c r="DF210" t="s">
        <v>249</v>
      </c>
      <c r="DG210" t="s">
        <v>249</v>
      </c>
      <c r="DH210" t="s">
        <v>3</v>
      </c>
      <c r="DI210" t="s">
        <v>249</v>
      </c>
      <c r="DJ210" t="s">
        <v>249</v>
      </c>
      <c r="DK210" t="s">
        <v>3</v>
      </c>
      <c r="DL210" t="s">
        <v>3</v>
      </c>
      <c r="DM210" t="s">
        <v>3</v>
      </c>
      <c r="DN210">
        <v>98</v>
      </c>
      <c r="DO210">
        <v>73</v>
      </c>
      <c r="DP210">
        <v>1.0469999999999999</v>
      </c>
      <c r="DQ210">
        <v>1.0189999999999999</v>
      </c>
      <c r="DU210">
        <v>1005</v>
      </c>
      <c r="DV210" t="s">
        <v>151</v>
      </c>
      <c r="DW210" t="s">
        <v>151</v>
      </c>
      <c r="DX210">
        <v>1</v>
      </c>
      <c r="EE210">
        <v>33194065</v>
      </c>
      <c r="EF210">
        <v>30</v>
      </c>
      <c r="EG210" t="s">
        <v>48</v>
      </c>
      <c r="EH210">
        <v>0</v>
      </c>
      <c r="EI210" t="s">
        <v>3</v>
      </c>
      <c r="EJ210">
        <v>1</v>
      </c>
      <c r="EK210">
        <v>143</v>
      </c>
      <c r="EL210" t="s">
        <v>265</v>
      </c>
      <c r="EM210" t="s">
        <v>266</v>
      </c>
      <c r="EO210" t="s">
        <v>3</v>
      </c>
      <c r="EQ210">
        <v>0</v>
      </c>
      <c r="ER210">
        <v>96.87</v>
      </c>
      <c r="ES210">
        <v>66.900000000000006</v>
      </c>
      <c r="ET210">
        <v>3.97</v>
      </c>
      <c r="EU210">
        <v>0.78</v>
      </c>
      <c r="EV210">
        <v>26</v>
      </c>
      <c r="EW210">
        <v>2</v>
      </c>
      <c r="EX210">
        <v>0</v>
      </c>
      <c r="EY210">
        <v>0</v>
      </c>
      <c r="FQ210">
        <v>0</v>
      </c>
      <c r="FR210">
        <f t="shared" si="211"/>
        <v>0</v>
      </c>
      <c r="FS210">
        <v>0</v>
      </c>
      <c r="FX210">
        <v>98</v>
      </c>
      <c r="FY210">
        <v>73</v>
      </c>
      <c r="GA210" t="s">
        <v>3</v>
      </c>
      <c r="GD210">
        <v>0</v>
      </c>
      <c r="GF210">
        <v>526365924</v>
      </c>
      <c r="GG210">
        <v>2</v>
      </c>
      <c r="GH210">
        <v>1</v>
      </c>
      <c r="GI210">
        <v>2</v>
      </c>
      <c r="GJ210">
        <v>0</v>
      </c>
      <c r="GK210">
        <f>ROUND(R210*(R12)/100,2)</f>
        <v>1594.75</v>
      </c>
      <c r="GL210">
        <f t="shared" si="212"/>
        <v>0</v>
      </c>
      <c r="GM210">
        <f t="shared" si="213"/>
        <v>76000.73</v>
      </c>
      <c r="GN210">
        <f t="shared" si="214"/>
        <v>76000.73</v>
      </c>
      <c r="GO210">
        <f t="shared" si="215"/>
        <v>0</v>
      </c>
      <c r="GP210">
        <f t="shared" si="216"/>
        <v>0</v>
      </c>
      <c r="GR210">
        <v>0</v>
      </c>
      <c r="GT210">
        <v>0</v>
      </c>
      <c r="GU210">
        <v>1</v>
      </c>
      <c r="GV210">
        <v>0</v>
      </c>
      <c r="GW210">
        <v>0</v>
      </c>
    </row>
    <row r="211" spans="1:205" x14ac:dyDescent="0.2">
      <c r="A211">
        <v>17</v>
      </c>
      <c r="B211">
        <v>1</v>
      </c>
      <c r="C211">
        <f>ROW(SmtRes!A121)</f>
        <v>121</v>
      </c>
      <c r="D211">
        <f>ROW(EtalonRes!A116)</f>
        <v>116</v>
      </c>
      <c r="E211" t="s">
        <v>267</v>
      </c>
      <c r="F211" t="s">
        <v>161</v>
      </c>
      <c r="G211" t="s">
        <v>268</v>
      </c>
      <c r="H211" t="s">
        <v>63</v>
      </c>
      <c r="I211">
        <f>ROUND((((4.2+4.2)*2*2*0.4+4.2*4.2*0.22*2)*2+((3.2+3.2)*2*2*0.4+3.2*3.2*0.22*2))/100,9)</f>
        <v>0.571488</v>
      </c>
      <c r="J211">
        <v>0</v>
      </c>
      <c r="O211">
        <f t="shared" si="187"/>
        <v>102101.83</v>
      </c>
      <c r="P211">
        <f t="shared" si="188"/>
        <v>0</v>
      </c>
      <c r="Q211">
        <f t="shared" si="189"/>
        <v>2826.84</v>
      </c>
      <c r="R211">
        <f t="shared" si="190"/>
        <v>1044.26</v>
      </c>
      <c r="S211">
        <f t="shared" si="191"/>
        <v>99274.99</v>
      </c>
      <c r="T211">
        <f t="shared" si="192"/>
        <v>0</v>
      </c>
      <c r="U211">
        <f t="shared" si="193"/>
        <v>472.63948082304</v>
      </c>
      <c r="V211">
        <f t="shared" si="194"/>
        <v>0</v>
      </c>
      <c r="W211">
        <f t="shared" si="195"/>
        <v>0</v>
      </c>
      <c r="X211">
        <f t="shared" si="196"/>
        <v>130050.24000000001</v>
      </c>
      <c r="Y211">
        <f t="shared" si="196"/>
        <v>59564.99</v>
      </c>
      <c r="AA211">
        <v>90163004</v>
      </c>
      <c r="AB211">
        <f t="shared" si="197"/>
        <v>9720.3060000000005</v>
      </c>
      <c r="AC211">
        <f>ROUND(((ES211*0)),6)</f>
        <v>0</v>
      </c>
      <c r="AD211">
        <f>ROUND(((ET211*1.15*0.8)),6)</f>
        <v>567.4008</v>
      </c>
      <c r="AE211">
        <f>ROUND(((EU211*1.15*0.8)),6)</f>
        <v>96.278000000000006</v>
      </c>
      <c r="AF211">
        <f>ROUND(((EV211*1.15*0.8)),6)</f>
        <v>9152.9051999999992</v>
      </c>
      <c r="AG211">
        <f t="shared" si="199"/>
        <v>0</v>
      </c>
      <c r="AH211">
        <f>((EW211*1.15*0.8))</f>
        <v>760.84</v>
      </c>
      <c r="AI211">
        <f>((EX211*1.15*0.8))</f>
        <v>0</v>
      </c>
      <c r="AJ211">
        <f t="shared" si="200"/>
        <v>0</v>
      </c>
      <c r="AK211">
        <v>15403.55</v>
      </c>
      <c r="AL211">
        <v>4838</v>
      </c>
      <c r="AM211">
        <v>616.74</v>
      </c>
      <c r="AN211">
        <v>104.65</v>
      </c>
      <c r="AO211">
        <v>9948.81</v>
      </c>
      <c r="AP211">
        <v>0</v>
      </c>
      <c r="AQ211">
        <v>827</v>
      </c>
      <c r="AR211">
        <v>0</v>
      </c>
      <c r="AS211">
        <v>0</v>
      </c>
      <c r="AT211">
        <v>131</v>
      </c>
      <c r="AU211">
        <v>60</v>
      </c>
      <c r="AV211">
        <v>1.087</v>
      </c>
      <c r="AW211">
        <v>1.0029999999999999</v>
      </c>
      <c r="AZ211">
        <v>1</v>
      </c>
      <c r="BA211">
        <v>17.46</v>
      </c>
      <c r="BB211">
        <v>8.02</v>
      </c>
      <c r="BC211">
        <v>4.3499999999999996</v>
      </c>
      <c r="BD211" t="s">
        <v>3</v>
      </c>
      <c r="BE211" t="s">
        <v>3</v>
      </c>
      <c r="BF211" t="s">
        <v>3</v>
      </c>
      <c r="BG211" t="s">
        <v>3</v>
      </c>
      <c r="BH211">
        <v>0</v>
      </c>
      <c r="BI211">
        <v>1</v>
      </c>
      <c r="BJ211" t="s">
        <v>163</v>
      </c>
      <c r="BM211">
        <v>58</v>
      </c>
      <c r="BN211">
        <v>0</v>
      </c>
      <c r="BO211" t="s">
        <v>161</v>
      </c>
      <c r="BP211">
        <v>1</v>
      </c>
      <c r="BQ211">
        <v>30</v>
      </c>
      <c r="BR211">
        <v>0</v>
      </c>
      <c r="BS211">
        <v>17.46</v>
      </c>
      <c r="BT211">
        <v>1</v>
      </c>
      <c r="BU211">
        <v>1</v>
      </c>
      <c r="BV211">
        <v>1</v>
      </c>
      <c r="BW211">
        <v>1</v>
      </c>
      <c r="BX211">
        <v>1</v>
      </c>
      <c r="BY211" t="s">
        <v>3</v>
      </c>
      <c r="BZ211">
        <v>131</v>
      </c>
      <c r="CA211">
        <v>60</v>
      </c>
      <c r="CF211">
        <v>0</v>
      </c>
      <c r="CG211">
        <v>0</v>
      </c>
      <c r="CM211">
        <v>0</v>
      </c>
      <c r="CN211" t="s">
        <v>3</v>
      </c>
      <c r="CO211">
        <v>0</v>
      </c>
      <c r="CP211">
        <f t="shared" si="201"/>
        <v>102101.83</v>
      </c>
      <c r="CQ211">
        <f t="shared" si="202"/>
        <v>0</v>
      </c>
      <c r="CR211">
        <f t="shared" si="203"/>
        <v>4946.452650192</v>
      </c>
      <c r="CS211">
        <f t="shared" si="204"/>
        <v>1827.2620875600001</v>
      </c>
      <c r="CT211">
        <f t="shared" si="205"/>
        <v>173713.17084890397</v>
      </c>
      <c r="CU211">
        <f t="shared" si="206"/>
        <v>0</v>
      </c>
      <c r="CV211">
        <f t="shared" si="207"/>
        <v>827.03308000000004</v>
      </c>
      <c r="CW211">
        <f t="shared" si="208"/>
        <v>0</v>
      </c>
      <c r="CX211">
        <f t="shared" si="208"/>
        <v>0</v>
      </c>
      <c r="CY211">
        <f t="shared" si="209"/>
        <v>130050.23690000002</v>
      </c>
      <c r="CZ211">
        <f t="shared" si="210"/>
        <v>59564.993999999999</v>
      </c>
      <c r="DC211" t="s">
        <v>3</v>
      </c>
      <c r="DD211" t="s">
        <v>164</v>
      </c>
      <c r="DE211" t="s">
        <v>165</v>
      </c>
      <c r="DF211" t="s">
        <v>165</v>
      </c>
      <c r="DG211" t="s">
        <v>165</v>
      </c>
      <c r="DH211" t="s">
        <v>3</v>
      </c>
      <c r="DI211" t="s">
        <v>165</v>
      </c>
      <c r="DJ211" t="s">
        <v>165</v>
      </c>
      <c r="DK211" t="s">
        <v>3</v>
      </c>
      <c r="DL211" t="s">
        <v>3</v>
      </c>
      <c r="DM211" t="s">
        <v>3</v>
      </c>
      <c r="DN211">
        <v>159</v>
      </c>
      <c r="DO211">
        <v>119</v>
      </c>
      <c r="DP211">
        <v>1.087</v>
      </c>
      <c r="DQ211">
        <v>1.0029999999999999</v>
      </c>
      <c r="DU211">
        <v>1007</v>
      </c>
      <c r="DV211" t="s">
        <v>63</v>
      </c>
      <c r="DW211" t="s">
        <v>63</v>
      </c>
      <c r="DX211">
        <v>100</v>
      </c>
      <c r="EE211">
        <v>33193814</v>
      </c>
      <c r="EF211">
        <v>30</v>
      </c>
      <c r="EG211" t="s">
        <v>48</v>
      </c>
      <c r="EH211">
        <v>0</v>
      </c>
      <c r="EI211" t="s">
        <v>3</v>
      </c>
      <c r="EJ211">
        <v>1</v>
      </c>
      <c r="EK211">
        <v>58</v>
      </c>
      <c r="EL211" t="s">
        <v>166</v>
      </c>
      <c r="EM211" t="s">
        <v>167</v>
      </c>
      <c r="EO211" t="s">
        <v>3</v>
      </c>
      <c r="EQ211">
        <v>0</v>
      </c>
      <c r="ER211">
        <v>15403.55</v>
      </c>
      <c r="ES211">
        <v>4838</v>
      </c>
      <c r="ET211">
        <v>616.74</v>
      </c>
      <c r="EU211">
        <v>104.65</v>
      </c>
      <c r="EV211">
        <v>9948.81</v>
      </c>
      <c r="EW211">
        <v>827</v>
      </c>
      <c r="EX211">
        <v>0</v>
      </c>
      <c r="EY211">
        <v>0</v>
      </c>
      <c r="FQ211">
        <v>0</v>
      </c>
      <c r="FR211">
        <f t="shared" si="211"/>
        <v>0</v>
      </c>
      <c r="FS211">
        <v>0</v>
      </c>
      <c r="FX211">
        <v>159</v>
      </c>
      <c r="FY211">
        <v>119</v>
      </c>
      <c r="GA211" t="s">
        <v>3</v>
      </c>
      <c r="GD211">
        <v>0</v>
      </c>
      <c r="GF211">
        <v>-735195938</v>
      </c>
      <c r="GG211">
        <v>2</v>
      </c>
      <c r="GH211">
        <v>1</v>
      </c>
      <c r="GI211">
        <v>2</v>
      </c>
      <c r="GJ211">
        <v>0</v>
      </c>
      <c r="GK211">
        <f>ROUND(R211*(R12)/100,2)</f>
        <v>1743.91</v>
      </c>
      <c r="GL211">
        <f t="shared" si="212"/>
        <v>0</v>
      </c>
      <c r="GM211">
        <f t="shared" si="213"/>
        <v>293460.96999999997</v>
      </c>
      <c r="GN211">
        <f t="shared" si="214"/>
        <v>293460.96999999997</v>
      </c>
      <c r="GO211">
        <f t="shared" si="215"/>
        <v>0</v>
      </c>
      <c r="GP211">
        <f t="shared" si="216"/>
        <v>0</v>
      </c>
      <c r="GR211">
        <v>0</v>
      </c>
      <c r="GT211">
        <v>0</v>
      </c>
      <c r="GU211">
        <v>1</v>
      </c>
      <c r="GV211">
        <v>0</v>
      </c>
      <c r="GW211">
        <v>0</v>
      </c>
    </row>
    <row r="212" spans="1:205" x14ac:dyDescent="0.2">
      <c r="A212">
        <v>17</v>
      </c>
      <c r="B212">
        <v>1</v>
      </c>
      <c r="C212">
        <f>ROW(SmtRes!A122)</f>
        <v>122</v>
      </c>
      <c r="D212">
        <f>ROW(EtalonRes!A117)</f>
        <v>117</v>
      </c>
      <c r="E212" t="s">
        <v>269</v>
      </c>
      <c r="F212" t="s">
        <v>169</v>
      </c>
      <c r="G212" t="s">
        <v>170</v>
      </c>
      <c r="H212" t="s">
        <v>39</v>
      </c>
      <c r="I212">
        <f>ROUND(3.332+0.257+0.756+0.112+1.411+0.762+142.872,9)</f>
        <v>149.50200000000001</v>
      </c>
      <c r="J212">
        <v>0</v>
      </c>
      <c r="O212">
        <f t="shared" si="187"/>
        <v>12082.18</v>
      </c>
      <c r="P212">
        <f t="shared" si="188"/>
        <v>0</v>
      </c>
      <c r="Q212">
        <f t="shared" si="189"/>
        <v>12082.18</v>
      </c>
      <c r="R212">
        <f t="shared" si="190"/>
        <v>4449.3100000000004</v>
      </c>
      <c r="S212">
        <f t="shared" si="191"/>
        <v>0</v>
      </c>
      <c r="T212">
        <f t="shared" si="192"/>
        <v>0</v>
      </c>
      <c r="U212">
        <f t="shared" si="193"/>
        <v>0</v>
      </c>
      <c r="V212">
        <f t="shared" si="194"/>
        <v>0</v>
      </c>
      <c r="W212">
        <f t="shared" si="195"/>
        <v>0</v>
      </c>
      <c r="X212">
        <f t="shared" si="196"/>
        <v>0</v>
      </c>
      <c r="Y212">
        <f t="shared" si="196"/>
        <v>0</v>
      </c>
      <c r="AA212">
        <v>90163004</v>
      </c>
      <c r="AB212">
        <f t="shared" si="197"/>
        <v>9.7460000000000004</v>
      </c>
      <c r="AC212">
        <f>ROUND((ES212),6)</f>
        <v>0</v>
      </c>
      <c r="AD212">
        <f>ROUND(((ET212*1.1)),6)</f>
        <v>9.7460000000000004</v>
      </c>
      <c r="AE212">
        <f>ROUND(((EU212*1.1)),6)</f>
        <v>1.6279999999999999</v>
      </c>
      <c r="AF212">
        <f>ROUND(((EV212*1.1)),6)</f>
        <v>0</v>
      </c>
      <c r="AG212">
        <f t="shared" si="199"/>
        <v>0</v>
      </c>
      <c r="AH212">
        <f>((EW212*1.1))</f>
        <v>0</v>
      </c>
      <c r="AI212">
        <f>((EX212*1.1))</f>
        <v>0</v>
      </c>
      <c r="AJ212">
        <f t="shared" si="200"/>
        <v>0</v>
      </c>
      <c r="AK212">
        <v>8.86</v>
      </c>
      <c r="AL212">
        <v>0</v>
      </c>
      <c r="AM212">
        <v>8.86</v>
      </c>
      <c r="AN212">
        <v>1.48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77</v>
      </c>
      <c r="AU212">
        <v>44</v>
      </c>
      <c r="AV212">
        <v>1.0469999999999999</v>
      </c>
      <c r="AW212">
        <v>1.002</v>
      </c>
      <c r="AZ212">
        <v>1</v>
      </c>
      <c r="BA212">
        <v>17.46</v>
      </c>
      <c r="BB212">
        <v>7.92</v>
      </c>
      <c r="BC212">
        <v>1</v>
      </c>
      <c r="BD212" t="s">
        <v>3</v>
      </c>
      <c r="BE212" t="s">
        <v>3</v>
      </c>
      <c r="BF212" t="s">
        <v>3</v>
      </c>
      <c r="BG212" t="s">
        <v>3</v>
      </c>
      <c r="BH212">
        <v>0</v>
      </c>
      <c r="BI212">
        <v>1</v>
      </c>
      <c r="BJ212" t="s">
        <v>171</v>
      </c>
      <c r="BM212">
        <v>658</v>
      </c>
      <c r="BN212">
        <v>0</v>
      </c>
      <c r="BO212" t="s">
        <v>169</v>
      </c>
      <c r="BP212">
        <v>1</v>
      </c>
      <c r="BQ212">
        <v>60</v>
      </c>
      <c r="BR212">
        <v>0</v>
      </c>
      <c r="BS212">
        <v>17.46</v>
      </c>
      <c r="BT212">
        <v>1</v>
      </c>
      <c r="BU212">
        <v>1</v>
      </c>
      <c r="BV212">
        <v>1</v>
      </c>
      <c r="BW212">
        <v>1</v>
      </c>
      <c r="BX212">
        <v>1</v>
      </c>
      <c r="BY212" t="s">
        <v>3</v>
      </c>
      <c r="BZ212">
        <v>77</v>
      </c>
      <c r="CA212">
        <v>44</v>
      </c>
      <c r="CF212">
        <v>0</v>
      </c>
      <c r="CG212">
        <v>0</v>
      </c>
      <c r="CM212">
        <v>0</v>
      </c>
      <c r="CN212" t="s">
        <v>3</v>
      </c>
      <c r="CO212">
        <v>0</v>
      </c>
      <c r="CP212">
        <f t="shared" si="201"/>
        <v>12082.18</v>
      </c>
      <c r="CQ212">
        <f t="shared" si="202"/>
        <v>0</v>
      </c>
      <c r="CR212">
        <f t="shared" si="203"/>
        <v>80.81617104</v>
      </c>
      <c r="CS212">
        <f t="shared" si="204"/>
        <v>29.760849359999995</v>
      </c>
      <c r="CT212">
        <f t="shared" si="205"/>
        <v>0</v>
      </c>
      <c r="CU212">
        <f t="shared" si="206"/>
        <v>0</v>
      </c>
      <c r="CV212">
        <f t="shared" si="207"/>
        <v>0</v>
      </c>
      <c r="CW212">
        <f t="shared" si="208"/>
        <v>0</v>
      </c>
      <c r="CX212">
        <f t="shared" si="208"/>
        <v>0</v>
      </c>
      <c r="CY212">
        <f t="shared" si="209"/>
        <v>0</v>
      </c>
      <c r="CZ212">
        <f t="shared" si="210"/>
        <v>0</v>
      </c>
      <c r="DC212" t="s">
        <v>3</v>
      </c>
      <c r="DD212" t="s">
        <v>3</v>
      </c>
      <c r="DE212" t="s">
        <v>172</v>
      </c>
      <c r="DF212" t="s">
        <v>172</v>
      </c>
      <c r="DG212" t="s">
        <v>172</v>
      </c>
      <c r="DH212" t="s">
        <v>3</v>
      </c>
      <c r="DI212" t="s">
        <v>172</v>
      </c>
      <c r="DJ212" t="s">
        <v>172</v>
      </c>
      <c r="DK212" t="s">
        <v>3</v>
      </c>
      <c r="DL212" t="s">
        <v>3</v>
      </c>
      <c r="DM212" t="s">
        <v>3</v>
      </c>
      <c r="DN212">
        <v>91</v>
      </c>
      <c r="DO212">
        <v>70</v>
      </c>
      <c r="DP212">
        <v>1.0469999999999999</v>
      </c>
      <c r="DQ212">
        <v>1.002</v>
      </c>
      <c r="DU212">
        <v>1009</v>
      </c>
      <c r="DV212" t="s">
        <v>39</v>
      </c>
      <c r="DW212" t="s">
        <v>39</v>
      </c>
      <c r="DX212">
        <v>1000</v>
      </c>
      <c r="EE212">
        <v>33195492</v>
      </c>
      <c r="EF212">
        <v>60</v>
      </c>
      <c r="EG212" t="s">
        <v>173</v>
      </c>
      <c r="EH212">
        <v>0</v>
      </c>
      <c r="EI212" t="s">
        <v>3</v>
      </c>
      <c r="EJ212">
        <v>1</v>
      </c>
      <c r="EK212">
        <v>658</v>
      </c>
      <c r="EL212" t="s">
        <v>174</v>
      </c>
      <c r="EM212" t="s">
        <v>175</v>
      </c>
      <c r="EO212" t="s">
        <v>3</v>
      </c>
      <c r="EQ212">
        <v>0</v>
      </c>
      <c r="ER212">
        <v>8.86</v>
      </c>
      <c r="ES212">
        <v>0</v>
      </c>
      <c r="ET212">
        <v>8.86</v>
      </c>
      <c r="EU212">
        <v>1.48</v>
      </c>
      <c r="EV212">
        <v>0</v>
      </c>
      <c r="EW212">
        <v>0</v>
      </c>
      <c r="EX212">
        <v>0</v>
      </c>
      <c r="EY212">
        <v>0</v>
      </c>
      <c r="FQ212">
        <v>0</v>
      </c>
      <c r="FR212">
        <f t="shared" si="211"/>
        <v>0</v>
      </c>
      <c r="FS212">
        <v>0</v>
      </c>
      <c r="FX212">
        <v>91</v>
      </c>
      <c r="FY212">
        <v>70</v>
      </c>
      <c r="GA212" t="s">
        <v>3</v>
      </c>
      <c r="GD212">
        <v>0</v>
      </c>
      <c r="GF212">
        <v>-2131482769</v>
      </c>
      <c r="GG212">
        <v>2</v>
      </c>
      <c r="GH212">
        <v>1</v>
      </c>
      <c r="GI212">
        <v>2</v>
      </c>
      <c r="GJ212">
        <v>0</v>
      </c>
      <c r="GK212">
        <f>ROUND(R212*(R12)/100,2)</f>
        <v>7430.35</v>
      </c>
      <c r="GL212">
        <f t="shared" si="212"/>
        <v>0</v>
      </c>
      <c r="GM212">
        <f t="shared" si="213"/>
        <v>19512.53</v>
      </c>
      <c r="GN212">
        <f t="shared" si="214"/>
        <v>19512.53</v>
      </c>
      <c r="GO212">
        <f t="shared" si="215"/>
        <v>0</v>
      </c>
      <c r="GP212">
        <f t="shared" si="216"/>
        <v>0</v>
      </c>
      <c r="GR212">
        <v>0</v>
      </c>
      <c r="GT212">
        <v>0</v>
      </c>
      <c r="GU212">
        <v>1</v>
      </c>
      <c r="GV212">
        <v>0</v>
      </c>
      <c r="GW212">
        <v>0</v>
      </c>
    </row>
    <row r="213" spans="1:205" x14ac:dyDescent="0.2">
      <c r="A213">
        <v>17</v>
      </c>
      <c r="B213">
        <v>1</v>
      </c>
      <c r="E213" t="s">
        <v>270</v>
      </c>
      <c r="F213" t="s">
        <v>79</v>
      </c>
      <c r="G213" t="s">
        <v>80</v>
      </c>
      <c r="H213" t="s">
        <v>39</v>
      </c>
      <c r="I213">
        <f>ROUND(I212,9)</f>
        <v>149.50200000000001</v>
      </c>
      <c r="J213">
        <v>0</v>
      </c>
      <c r="O213">
        <f t="shared" si="187"/>
        <v>66438.45</v>
      </c>
      <c r="P213">
        <f t="shared" si="188"/>
        <v>0</v>
      </c>
      <c r="Q213">
        <f t="shared" si="189"/>
        <v>66438.45</v>
      </c>
      <c r="R213">
        <f t="shared" si="190"/>
        <v>0</v>
      </c>
      <c r="S213">
        <f t="shared" si="191"/>
        <v>0</v>
      </c>
      <c r="T213">
        <f t="shared" si="192"/>
        <v>0</v>
      </c>
      <c r="U213">
        <f t="shared" si="193"/>
        <v>0</v>
      </c>
      <c r="V213">
        <f t="shared" si="194"/>
        <v>0</v>
      </c>
      <c r="W213">
        <f t="shared" si="195"/>
        <v>0</v>
      </c>
      <c r="X213">
        <f t="shared" si="196"/>
        <v>0</v>
      </c>
      <c r="Y213">
        <f t="shared" si="196"/>
        <v>0</v>
      </c>
      <c r="AA213">
        <v>90163004</v>
      </c>
      <c r="AB213">
        <f t="shared" si="197"/>
        <v>58.32</v>
      </c>
      <c r="AC213">
        <f>ROUND((ES213),6)</f>
        <v>0</v>
      </c>
      <c r="AD213">
        <f t="shared" ref="AD213:AF214" si="217">ROUND((ET213),6)</f>
        <v>58.32</v>
      </c>
      <c r="AE213">
        <f t="shared" si="217"/>
        <v>0</v>
      </c>
      <c r="AF213">
        <f t="shared" si="217"/>
        <v>0</v>
      </c>
      <c r="AG213">
        <f t="shared" si="199"/>
        <v>0</v>
      </c>
      <c r="AH213">
        <f>(EW213)</f>
        <v>0</v>
      </c>
      <c r="AI213">
        <f>(EX213)</f>
        <v>0</v>
      </c>
      <c r="AJ213">
        <f t="shared" si="200"/>
        <v>0</v>
      </c>
      <c r="AK213">
        <v>58.32</v>
      </c>
      <c r="AL213">
        <v>0</v>
      </c>
      <c r="AM213">
        <v>58.32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1</v>
      </c>
      <c r="AW213">
        <v>1</v>
      </c>
      <c r="AZ213">
        <v>1</v>
      </c>
      <c r="BA213">
        <v>17.46</v>
      </c>
      <c r="BB213">
        <v>7.62</v>
      </c>
      <c r="BC213">
        <v>1</v>
      </c>
      <c r="BD213" t="s">
        <v>3</v>
      </c>
      <c r="BE213" t="s">
        <v>3</v>
      </c>
      <c r="BF213" t="s">
        <v>3</v>
      </c>
      <c r="BG213" t="s">
        <v>3</v>
      </c>
      <c r="BH213">
        <v>0</v>
      </c>
      <c r="BI213">
        <v>4</v>
      </c>
      <c r="BJ213" t="s">
        <v>81</v>
      </c>
      <c r="BM213">
        <v>1113</v>
      </c>
      <c r="BN213">
        <v>0</v>
      </c>
      <c r="BO213" t="s">
        <v>79</v>
      </c>
      <c r="BP213">
        <v>1</v>
      </c>
      <c r="BQ213">
        <v>150</v>
      </c>
      <c r="BR213">
        <v>0</v>
      </c>
      <c r="BS213">
        <v>17.46</v>
      </c>
      <c r="BT213">
        <v>1</v>
      </c>
      <c r="BU213">
        <v>1</v>
      </c>
      <c r="BV213">
        <v>1</v>
      </c>
      <c r="BW213">
        <v>1</v>
      </c>
      <c r="BX213">
        <v>1</v>
      </c>
      <c r="BY213" t="s">
        <v>3</v>
      </c>
      <c r="BZ213">
        <v>0</v>
      </c>
      <c r="CA213">
        <v>0</v>
      </c>
      <c r="CF213">
        <v>0</v>
      </c>
      <c r="CG213">
        <v>0</v>
      </c>
      <c r="CM213">
        <v>0</v>
      </c>
      <c r="CN213" t="s">
        <v>3</v>
      </c>
      <c r="CO213">
        <v>0</v>
      </c>
      <c r="CP213">
        <f t="shared" si="201"/>
        <v>66438.45</v>
      </c>
      <c r="CQ213">
        <f t="shared" si="202"/>
        <v>0</v>
      </c>
      <c r="CR213">
        <f t="shared" si="203"/>
        <v>444.39839999999998</v>
      </c>
      <c r="CS213">
        <f t="shared" si="204"/>
        <v>0</v>
      </c>
      <c r="CT213">
        <f t="shared" si="205"/>
        <v>0</v>
      </c>
      <c r="CU213">
        <f t="shared" si="206"/>
        <v>0</v>
      </c>
      <c r="CV213">
        <f t="shared" si="207"/>
        <v>0</v>
      </c>
      <c r="CW213">
        <f t="shared" si="208"/>
        <v>0</v>
      </c>
      <c r="CX213">
        <f t="shared" si="208"/>
        <v>0</v>
      </c>
      <c r="CY213">
        <f t="shared" si="209"/>
        <v>0</v>
      </c>
      <c r="CZ213">
        <f t="shared" si="210"/>
        <v>0</v>
      </c>
      <c r="DC213" t="s">
        <v>3</v>
      </c>
      <c r="DD213" t="s">
        <v>3</v>
      </c>
      <c r="DE213" t="s">
        <v>3</v>
      </c>
      <c r="DF213" t="s">
        <v>3</v>
      </c>
      <c r="DG213" t="s">
        <v>3</v>
      </c>
      <c r="DH213" t="s">
        <v>3</v>
      </c>
      <c r="DI213" t="s">
        <v>3</v>
      </c>
      <c r="DJ213" t="s">
        <v>3</v>
      </c>
      <c r="DK213" t="s">
        <v>3</v>
      </c>
      <c r="DL213" t="s">
        <v>3</v>
      </c>
      <c r="DM213" t="s">
        <v>3</v>
      </c>
      <c r="DN213">
        <v>0</v>
      </c>
      <c r="DO213">
        <v>0</v>
      </c>
      <c r="DP213">
        <v>1</v>
      </c>
      <c r="DQ213">
        <v>1</v>
      </c>
      <c r="DU213">
        <v>1009</v>
      </c>
      <c r="DV213" t="s">
        <v>39</v>
      </c>
      <c r="DW213" t="s">
        <v>39</v>
      </c>
      <c r="DX213">
        <v>1000</v>
      </c>
      <c r="EE213">
        <v>33196053</v>
      </c>
      <c r="EF213">
        <v>150</v>
      </c>
      <c r="EG213" t="s">
        <v>71</v>
      </c>
      <c r="EH213">
        <v>0</v>
      </c>
      <c r="EI213" t="s">
        <v>3</v>
      </c>
      <c r="EJ213">
        <v>4</v>
      </c>
      <c r="EK213">
        <v>1113</v>
      </c>
      <c r="EL213" t="s">
        <v>82</v>
      </c>
      <c r="EM213" t="s">
        <v>83</v>
      </c>
      <c r="EO213" t="s">
        <v>3</v>
      </c>
      <c r="EQ213">
        <v>0</v>
      </c>
      <c r="ER213">
        <v>58.32</v>
      </c>
      <c r="ES213">
        <v>0</v>
      </c>
      <c r="ET213">
        <v>58.32</v>
      </c>
      <c r="EU213">
        <v>0</v>
      </c>
      <c r="EV213">
        <v>0</v>
      </c>
      <c r="EW213">
        <v>0</v>
      </c>
      <c r="EX213">
        <v>0</v>
      </c>
      <c r="EY213">
        <v>0</v>
      </c>
      <c r="FQ213">
        <v>0</v>
      </c>
      <c r="FR213">
        <f t="shared" si="211"/>
        <v>0</v>
      </c>
      <c r="FS213">
        <v>0</v>
      </c>
      <c r="FX213">
        <v>0</v>
      </c>
      <c r="FY213">
        <v>0</v>
      </c>
      <c r="GA213" t="s">
        <v>3</v>
      </c>
      <c r="GD213">
        <v>0</v>
      </c>
      <c r="GF213">
        <v>1267817562</v>
      </c>
      <c r="GG213">
        <v>2</v>
      </c>
      <c r="GH213">
        <v>1</v>
      </c>
      <c r="GI213">
        <v>2</v>
      </c>
      <c r="GJ213">
        <v>0</v>
      </c>
      <c r="GK213">
        <f>ROUND(R213*(R12)/100,2)</f>
        <v>0</v>
      </c>
      <c r="GL213">
        <f t="shared" si="212"/>
        <v>0</v>
      </c>
      <c r="GM213">
        <f t="shared" si="213"/>
        <v>66438.45</v>
      </c>
      <c r="GN213">
        <f t="shared" si="214"/>
        <v>0</v>
      </c>
      <c r="GO213">
        <f t="shared" si="215"/>
        <v>0</v>
      </c>
      <c r="GP213">
        <f t="shared" si="216"/>
        <v>66438.45</v>
      </c>
      <c r="GR213">
        <v>0</v>
      </c>
      <c r="GT213">
        <v>0</v>
      </c>
      <c r="GU213">
        <v>1</v>
      </c>
      <c r="GV213">
        <v>0</v>
      </c>
      <c r="GW213">
        <v>0</v>
      </c>
    </row>
    <row r="214" spans="1:205" x14ac:dyDescent="0.2">
      <c r="A214">
        <v>17</v>
      </c>
      <c r="B214">
        <v>1</v>
      </c>
      <c r="E214" t="s">
        <v>271</v>
      </c>
      <c r="F214" t="s">
        <v>85</v>
      </c>
      <c r="G214" t="s">
        <v>86</v>
      </c>
      <c r="H214" t="s">
        <v>39</v>
      </c>
      <c r="I214">
        <f>ROUND(1.411+142.872,9)</f>
        <v>144.28299999999999</v>
      </c>
      <c r="J214">
        <v>0</v>
      </c>
      <c r="O214">
        <f t="shared" si="187"/>
        <v>29290.89</v>
      </c>
      <c r="P214">
        <f t="shared" si="188"/>
        <v>0</v>
      </c>
      <c r="Q214">
        <f t="shared" si="189"/>
        <v>29290.89</v>
      </c>
      <c r="R214">
        <f t="shared" si="190"/>
        <v>0</v>
      </c>
      <c r="S214">
        <f t="shared" si="191"/>
        <v>0</v>
      </c>
      <c r="T214">
        <f t="shared" si="192"/>
        <v>0</v>
      </c>
      <c r="U214">
        <f t="shared" si="193"/>
        <v>0</v>
      </c>
      <c r="V214">
        <f t="shared" si="194"/>
        <v>0</v>
      </c>
      <c r="W214">
        <f t="shared" si="195"/>
        <v>0</v>
      </c>
      <c r="X214">
        <f t="shared" si="196"/>
        <v>0</v>
      </c>
      <c r="Y214">
        <f t="shared" si="196"/>
        <v>0</v>
      </c>
      <c r="AA214">
        <v>90163004</v>
      </c>
      <c r="AB214">
        <f t="shared" si="197"/>
        <v>101</v>
      </c>
      <c r="AC214">
        <f>ROUND((ES214),6)</f>
        <v>0</v>
      </c>
      <c r="AD214">
        <f t="shared" si="217"/>
        <v>101</v>
      </c>
      <c r="AE214">
        <f t="shared" si="217"/>
        <v>0</v>
      </c>
      <c r="AF214">
        <f t="shared" si="217"/>
        <v>0</v>
      </c>
      <c r="AG214">
        <f t="shared" si="199"/>
        <v>0</v>
      </c>
      <c r="AH214">
        <f>(EW214)</f>
        <v>0</v>
      </c>
      <c r="AI214">
        <f>(EX214)</f>
        <v>0</v>
      </c>
      <c r="AJ214">
        <f t="shared" si="200"/>
        <v>0</v>
      </c>
      <c r="AK214">
        <v>101</v>
      </c>
      <c r="AL214">
        <v>0</v>
      </c>
      <c r="AM214">
        <v>101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1</v>
      </c>
      <c r="AW214">
        <v>1</v>
      </c>
      <c r="AZ214">
        <v>1</v>
      </c>
      <c r="BA214">
        <v>17.46</v>
      </c>
      <c r="BB214">
        <v>2.0099999999999998</v>
      </c>
      <c r="BC214">
        <v>1</v>
      </c>
      <c r="BD214" t="s">
        <v>3</v>
      </c>
      <c r="BE214" t="s">
        <v>3</v>
      </c>
      <c r="BF214" t="s">
        <v>3</v>
      </c>
      <c r="BG214" t="s">
        <v>3</v>
      </c>
      <c r="BH214">
        <v>0</v>
      </c>
      <c r="BI214">
        <v>4</v>
      </c>
      <c r="BJ214" t="s">
        <v>87</v>
      </c>
      <c r="BM214">
        <v>1110</v>
      </c>
      <c r="BN214">
        <v>0</v>
      </c>
      <c r="BO214" t="s">
        <v>85</v>
      </c>
      <c r="BP214">
        <v>1</v>
      </c>
      <c r="BQ214">
        <v>150</v>
      </c>
      <c r="BR214">
        <v>0</v>
      </c>
      <c r="BS214">
        <v>17.46</v>
      </c>
      <c r="BT214">
        <v>1</v>
      </c>
      <c r="BU214">
        <v>1</v>
      </c>
      <c r="BV214">
        <v>1</v>
      </c>
      <c r="BW214">
        <v>1</v>
      </c>
      <c r="BX214">
        <v>1</v>
      </c>
      <c r="BY214" t="s">
        <v>3</v>
      </c>
      <c r="BZ214">
        <v>0</v>
      </c>
      <c r="CA214">
        <v>0</v>
      </c>
      <c r="CF214">
        <v>0</v>
      </c>
      <c r="CG214">
        <v>0</v>
      </c>
      <c r="CM214">
        <v>0</v>
      </c>
      <c r="CN214" t="s">
        <v>3</v>
      </c>
      <c r="CO214">
        <v>0</v>
      </c>
      <c r="CP214">
        <f t="shared" si="201"/>
        <v>29290.89</v>
      </c>
      <c r="CQ214">
        <f t="shared" si="202"/>
        <v>0</v>
      </c>
      <c r="CR214">
        <f t="shared" si="203"/>
        <v>203.01</v>
      </c>
      <c r="CS214">
        <f t="shared" si="204"/>
        <v>0</v>
      </c>
      <c r="CT214">
        <f t="shared" si="205"/>
        <v>0</v>
      </c>
      <c r="CU214">
        <f t="shared" si="206"/>
        <v>0</v>
      </c>
      <c r="CV214">
        <f t="shared" si="207"/>
        <v>0</v>
      </c>
      <c r="CW214">
        <f t="shared" si="208"/>
        <v>0</v>
      </c>
      <c r="CX214">
        <f t="shared" si="208"/>
        <v>0</v>
      </c>
      <c r="CY214">
        <f t="shared" si="209"/>
        <v>0</v>
      </c>
      <c r="CZ214">
        <f t="shared" si="210"/>
        <v>0</v>
      </c>
      <c r="DC214" t="s">
        <v>3</v>
      </c>
      <c r="DD214" t="s">
        <v>3</v>
      </c>
      <c r="DE214" t="s">
        <v>3</v>
      </c>
      <c r="DF214" t="s">
        <v>3</v>
      </c>
      <c r="DG214" t="s">
        <v>3</v>
      </c>
      <c r="DH214" t="s">
        <v>3</v>
      </c>
      <c r="DI214" t="s">
        <v>3</v>
      </c>
      <c r="DJ214" t="s">
        <v>3</v>
      </c>
      <c r="DK214" t="s">
        <v>3</v>
      </c>
      <c r="DL214" t="s">
        <v>3</v>
      </c>
      <c r="DM214" t="s">
        <v>3</v>
      </c>
      <c r="DN214">
        <v>0</v>
      </c>
      <c r="DO214">
        <v>0</v>
      </c>
      <c r="DP214">
        <v>1</v>
      </c>
      <c r="DQ214">
        <v>1</v>
      </c>
      <c r="DU214">
        <v>1009</v>
      </c>
      <c r="DV214" t="s">
        <v>39</v>
      </c>
      <c r="DW214" t="s">
        <v>39</v>
      </c>
      <c r="DX214">
        <v>1000</v>
      </c>
      <c r="EE214">
        <v>33196043</v>
      </c>
      <c r="EF214">
        <v>150</v>
      </c>
      <c r="EG214" t="s">
        <v>71</v>
      </c>
      <c r="EH214">
        <v>0</v>
      </c>
      <c r="EI214" t="s">
        <v>3</v>
      </c>
      <c r="EJ214">
        <v>4</v>
      </c>
      <c r="EK214">
        <v>1110</v>
      </c>
      <c r="EL214" t="s">
        <v>88</v>
      </c>
      <c r="EM214" t="s">
        <v>89</v>
      </c>
      <c r="EO214" t="s">
        <v>3</v>
      </c>
      <c r="EQ214">
        <v>0</v>
      </c>
      <c r="ER214">
        <v>101</v>
      </c>
      <c r="ES214">
        <v>0</v>
      </c>
      <c r="ET214">
        <v>101</v>
      </c>
      <c r="EU214">
        <v>0</v>
      </c>
      <c r="EV214">
        <v>0</v>
      </c>
      <c r="EW214">
        <v>0</v>
      </c>
      <c r="EX214">
        <v>0</v>
      </c>
      <c r="EY214">
        <v>0</v>
      </c>
      <c r="FQ214">
        <v>0</v>
      </c>
      <c r="FR214">
        <f t="shared" si="211"/>
        <v>0</v>
      </c>
      <c r="FS214">
        <v>0</v>
      </c>
      <c r="FX214">
        <v>0</v>
      </c>
      <c r="FY214">
        <v>0</v>
      </c>
      <c r="GA214" t="s">
        <v>3</v>
      </c>
      <c r="GD214">
        <v>0</v>
      </c>
      <c r="GF214">
        <v>684198422</v>
      </c>
      <c r="GG214">
        <v>2</v>
      </c>
      <c r="GH214">
        <v>1</v>
      </c>
      <c r="GI214">
        <v>2</v>
      </c>
      <c r="GJ214">
        <v>0</v>
      </c>
      <c r="GK214">
        <f>ROUND(R214*(R12)/100,2)</f>
        <v>0</v>
      </c>
      <c r="GL214">
        <f t="shared" si="212"/>
        <v>0</v>
      </c>
      <c r="GM214">
        <f t="shared" si="213"/>
        <v>29290.89</v>
      </c>
      <c r="GN214">
        <f t="shared" si="214"/>
        <v>0</v>
      </c>
      <c r="GO214">
        <f t="shared" si="215"/>
        <v>0</v>
      </c>
      <c r="GP214">
        <f t="shared" si="216"/>
        <v>29290.89</v>
      </c>
      <c r="GR214">
        <v>0</v>
      </c>
      <c r="GT214">
        <v>0</v>
      </c>
      <c r="GU214">
        <v>1</v>
      </c>
      <c r="GV214">
        <v>0</v>
      </c>
      <c r="GW214">
        <v>0</v>
      </c>
    </row>
    <row r="216" spans="1:205" x14ac:dyDescent="0.2">
      <c r="A216" s="2">
        <v>51</v>
      </c>
      <c r="B216" s="2">
        <f>B203</f>
        <v>1</v>
      </c>
      <c r="C216" s="2">
        <f>A203</f>
        <v>4</v>
      </c>
      <c r="D216" s="2">
        <f>ROW(A203)</f>
        <v>203</v>
      </c>
      <c r="E216" s="2"/>
      <c r="F216" s="2" t="str">
        <f>IF(F203&lt;&gt;"",F203,"")</f>
        <v>Новый раздел</v>
      </c>
      <c r="G216" s="2" t="str">
        <f>IF(G203&lt;&gt;"",G203,"")</f>
        <v>Демонтаж байпаса</v>
      </c>
      <c r="H216" s="2"/>
      <c r="I216" s="2"/>
      <c r="J216" s="2"/>
      <c r="K216" s="2"/>
      <c r="L216" s="2"/>
      <c r="M216" s="2"/>
      <c r="N216" s="2"/>
      <c r="O216" s="2">
        <f t="shared" ref="O216:T216" si="218">ROUND(AB216,2)</f>
        <v>264856.12</v>
      </c>
      <c r="P216" s="2">
        <f t="shared" si="218"/>
        <v>0</v>
      </c>
      <c r="Q216" s="2">
        <f t="shared" si="218"/>
        <v>120805.03</v>
      </c>
      <c r="R216" s="2">
        <f t="shared" si="218"/>
        <v>9543.74</v>
      </c>
      <c r="S216" s="2">
        <f t="shared" si="218"/>
        <v>144051.09</v>
      </c>
      <c r="T216" s="2">
        <f t="shared" si="218"/>
        <v>0</v>
      </c>
      <c r="U216" s="2">
        <f>AH216</f>
        <v>672.46662524503995</v>
      </c>
      <c r="V216" s="2">
        <f>AI216</f>
        <v>0</v>
      </c>
      <c r="W216" s="2">
        <f>ROUND(AJ216,2)</f>
        <v>0</v>
      </c>
      <c r="X216" s="2">
        <f>ROUND(AK216,2)</f>
        <v>170430.58</v>
      </c>
      <c r="Y216" s="2">
        <f>ROUND(AL216,2)</f>
        <v>80411.47</v>
      </c>
      <c r="Z216" s="2"/>
      <c r="AA216" s="2"/>
      <c r="AB216" s="2">
        <f>ROUND(SUMIF(AA207:AA214,"=90163004",O207:O214),2)</f>
        <v>264856.12</v>
      </c>
      <c r="AC216" s="2">
        <f>ROUND(SUMIF(AA207:AA214,"=90163004",P207:P214),2)</f>
        <v>0</v>
      </c>
      <c r="AD216" s="2">
        <f>ROUND(SUMIF(AA207:AA214,"=90163004",Q207:Q214),2)</f>
        <v>120805.03</v>
      </c>
      <c r="AE216" s="2">
        <f>ROUND(SUMIF(AA207:AA214,"=90163004",R207:R214),2)</f>
        <v>9543.74</v>
      </c>
      <c r="AF216" s="2">
        <f>ROUND(SUMIF(AA207:AA214,"=90163004",S207:S214),2)</f>
        <v>144051.09</v>
      </c>
      <c r="AG216" s="2">
        <f>ROUND(SUMIF(AA207:AA214,"=90163004",T207:T214),2)</f>
        <v>0</v>
      </c>
      <c r="AH216" s="2">
        <f>SUMIF(AA207:AA214,"=90163004",U207:U214)</f>
        <v>672.46662524503995</v>
      </c>
      <c r="AI216" s="2">
        <f>SUMIF(AA207:AA214,"=90163004",V207:V214)</f>
        <v>0</v>
      </c>
      <c r="AJ216" s="2">
        <f>ROUND(SUMIF(AA207:AA214,"=90163004",W207:W214),2)</f>
        <v>0</v>
      </c>
      <c r="AK216" s="2">
        <f>ROUND(SUMIF(AA207:AA214,"=90163004",X207:X214),2)</f>
        <v>170430.58</v>
      </c>
      <c r="AL216" s="2">
        <f>ROUND(SUMIF(AA207:AA214,"=90163004",Y207:Y214),2)</f>
        <v>80411.47</v>
      </c>
      <c r="AM216" s="2"/>
      <c r="AN216" s="2"/>
      <c r="AO216" s="2">
        <f t="shared" ref="AO216:AZ216" si="219">ROUND(BB216,2)</f>
        <v>0</v>
      </c>
      <c r="AP216" s="2">
        <f t="shared" si="219"/>
        <v>0</v>
      </c>
      <c r="AQ216" s="2">
        <f t="shared" si="219"/>
        <v>0</v>
      </c>
      <c r="AR216" s="2">
        <f t="shared" si="219"/>
        <v>531636.22</v>
      </c>
      <c r="AS216" s="2">
        <f t="shared" si="219"/>
        <v>435906.88</v>
      </c>
      <c r="AT216" s="2">
        <f t="shared" si="219"/>
        <v>0</v>
      </c>
      <c r="AU216" s="2">
        <f t="shared" si="219"/>
        <v>95729.34</v>
      </c>
      <c r="AV216" s="2">
        <f t="shared" si="219"/>
        <v>0</v>
      </c>
      <c r="AW216" s="2">
        <f t="shared" si="219"/>
        <v>0</v>
      </c>
      <c r="AX216" s="2">
        <f t="shared" si="219"/>
        <v>0</v>
      </c>
      <c r="AY216" s="2">
        <f t="shared" si="219"/>
        <v>0</v>
      </c>
      <c r="AZ216" s="2">
        <f t="shared" si="219"/>
        <v>0</v>
      </c>
      <c r="BA216" s="2"/>
      <c r="BB216" s="2">
        <f>ROUND(SUMIF(AA207:AA214,"=90163004",FQ207:FQ214),2)</f>
        <v>0</v>
      </c>
      <c r="BC216" s="2">
        <f>ROUND(SUMIF(AA207:AA214,"=90163004",FR207:FR214),2)</f>
        <v>0</v>
      </c>
      <c r="BD216" s="2">
        <f>ROUND(SUMIF(AA207:AA214,"=90163004",GL207:GL214),2)</f>
        <v>0</v>
      </c>
      <c r="BE216" s="2">
        <f>ROUND(SUMIF(AA207:AA214,"=90163004",GM207:GM214),2)</f>
        <v>531636.22</v>
      </c>
      <c r="BF216" s="2">
        <f>ROUND(SUMIF(AA207:AA214,"=90163004",GN207:GN214),2)</f>
        <v>435906.88</v>
      </c>
      <c r="BG216" s="2">
        <f>ROUND(SUMIF(AA207:AA214,"=90163004",GO207:GO214),2)</f>
        <v>0</v>
      </c>
      <c r="BH216" s="2">
        <f>ROUND(SUMIF(AA207:AA214,"=90163004",GP207:GP214),2)</f>
        <v>95729.34</v>
      </c>
      <c r="BI216" s="2">
        <f>AC216-BB216</f>
        <v>0</v>
      </c>
      <c r="BJ216" s="2">
        <f>AC216-BC216</f>
        <v>0</v>
      </c>
      <c r="BK216" s="2">
        <f>BB216-BD216</f>
        <v>0</v>
      </c>
      <c r="BL216" s="2">
        <f>AC216-BB216-BC216+BD216</f>
        <v>0</v>
      </c>
      <c r="BM216" s="2">
        <f>BC216-BD216</f>
        <v>0</v>
      </c>
      <c r="BN216" s="2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>
        <v>0</v>
      </c>
    </row>
    <row r="218" spans="1:205" x14ac:dyDescent="0.2">
      <c r="A218" s="4">
        <v>50</v>
      </c>
      <c r="B218" s="4">
        <v>0</v>
      </c>
      <c r="C218" s="4">
        <v>0</v>
      </c>
      <c r="D218" s="4">
        <v>1</v>
      </c>
      <c r="E218" s="4">
        <v>201</v>
      </c>
      <c r="F218" s="4">
        <f>ROUND(Source!O216,O218)</f>
        <v>264856.12</v>
      </c>
      <c r="G218" s="4" t="s">
        <v>90</v>
      </c>
      <c r="H218" s="4" t="s">
        <v>91</v>
      </c>
      <c r="I218" s="4"/>
      <c r="J218" s="4"/>
      <c r="K218" s="4">
        <v>201</v>
      </c>
      <c r="L218" s="4">
        <v>1</v>
      </c>
      <c r="M218" s="4">
        <v>3</v>
      </c>
      <c r="N218" s="4" t="s">
        <v>3</v>
      </c>
      <c r="O218" s="4">
        <v>2</v>
      </c>
      <c r="P218" s="4"/>
    </row>
    <row r="219" spans="1:205" x14ac:dyDescent="0.2">
      <c r="A219" s="4">
        <v>50</v>
      </c>
      <c r="B219" s="4">
        <v>0</v>
      </c>
      <c r="C219" s="4">
        <v>0</v>
      </c>
      <c r="D219" s="4">
        <v>1</v>
      </c>
      <c r="E219" s="4">
        <v>202</v>
      </c>
      <c r="F219" s="4">
        <f>ROUND(Source!P216,O219)</f>
        <v>0</v>
      </c>
      <c r="G219" s="4" t="s">
        <v>92</v>
      </c>
      <c r="H219" s="4" t="s">
        <v>93</v>
      </c>
      <c r="I219" s="4"/>
      <c r="J219" s="4"/>
      <c r="K219" s="4">
        <v>202</v>
      </c>
      <c r="L219" s="4">
        <v>2</v>
      </c>
      <c r="M219" s="4">
        <v>3</v>
      </c>
      <c r="N219" s="4" t="s">
        <v>3</v>
      </c>
      <c r="O219" s="4">
        <v>2</v>
      </c>
      <c r="P219" s="4"/>
    </row>
    <row r="220" spans="1:205" x14ac:dyDescent="0.2">
      <c r="A220" s="4">
        <v>50</v>
      </c>
      <c r="B220" s="4">
        <v>0</v>
      </c>
      <c r="C220" s="4">
        <v>0</v>
      </c>
      <c r="D220" s="4">
        <v>1</v>
      </c>
      <c r="E220" s="4">
        <v>222</v>
      </c>
      <c r="F220" s="4">
        <f>ROUND(Source!AO216,O220)</f>
        <v>0</v>
      </c>
      <c r="G220" s="4" t="s">
        <v>94</v>
      </c>
      <c r="H220" s="4" t="s">
        <v>95</v>
      </c>
      <c r="I220" s="4"/>
      <c r="J220" s="4"/>
      <c r="K220" s="4">
        <v>222</v>
      </c>
      <c r="L220" s="4">
        <v>3</v>
      </c>
      <c r="M220" s="4">
        <v>3</v>
      </c>
      <c r="N220" s="4" t="s">
        <v>3</v>
      </c>
      <c r="O220" s="4">
        <v>2</v>
      </c>
      <c r="P220" s="4"/>
    </row>
    <row r="221" spans="1:205" x14ac:dyDescent="0.2">
      <c r="A221" s="4">
        <v>50</v>
      </c>
      <c r="B221" s="4">
        <v>0</v>
      </c>
      <c r="C221" s="4">
        <v>0</v>
      </c>
      <c r="D221" s="4">
        <v>1</v>
      </c>
      <c r="E221" s="4">
        <v>225</v>
      </c>
      <c r="F221" s="4">
        <f>ROUND(Source!AV216,O221)</f>
        <v>0</v>
      </c>
      <c r="G221" s="4" t="s">
        <v>96</v>
      </c>
      <c r="H221" s="4" t="s">
        <v>97</v>
      </c>
      <c r="I221" s="4"/>
      <c r="J221" s="4"/>
      <c r="K221" s="4">
        <v>225</v>
      </c>
      <c r="L221" s="4">
        <v>4</v>
      </c>
      <c r="M221" s="4">
        <v>3</v>
      </c>
      <c r="N221" s="4" t="s">
        <v>3</v>
      </c>
      <c r="O221" s="4">
        <v>2</v>
      </c>
      <c r="P221" s="4"/>
    </row>
    <row r="222" spans="1:205" x14ac:dyDescent="0.2">
      <c r="A222" s="4">
        <v>50</v>
      </c>
      <c r="B222" s="4">
        <v>0</v>
      </c>
      <c r="C222" s="4">
        <v>0</v>
      </c>
      <c r="D222" s="4">
        <v>1</v>
      </c>
      <c r="E222" s="4">
        <v>226</v>
      </c>
      <c r="F222" s="4">
        <f>ROUND(Source!AW216,O222)</f>
        <v>0</v>
      </c>
      <c r="G222" s="4" t="s">
        <v>98</v>
      </c>
      <c r="H222" s="4" t="s">
        <v>99</v>
      </c>
      <c r="I222" s="4"/>
      <c r="J222" s="4"/>
      <c r="K222" s="4">
        <v>226</v>
      </c>
      <c r="L222" s="4">
        <v>5</v>
      </c>
      <c r="M222" s="4">
        <v>3</v>
      </c>
      <c r="N222" s="4" t="s">
        <v>3</v>
      </c>
      <c r="O222" s="4">
        <v>2</v>
      </c>
      <c r="P222" s="4"/>
    </row>
    <row r="223" spans="1:205" x14ac:dyDescent="0.2">
      <c r="A223" s="4">
        <v>50</v>
      </c>
      <c r="B223" s="4">
        <v>0</v>
      </c>
      <c r="C223" s="4">
        <v>0</v>
      </c>
      <c r="D223" s="4">
        <v>1</v>
      </c>
      <c r="E223" s="4">
        <v>227</v>
      </c>
      <c r="F223" s="4">
        <f>ROUND(Source!AX216,O223)</f>
        <v>0</v>
      </c>
      <c r="G223" s="4" t="s">
        <v>100</v>
      </c>
      <c r="H223" s="4" t="s">
        <v>101</v>
      </c>
      <c r="I223" s="4"/>
      <c r="J223" s="4"/>
      <c r="K223" s="4">
        <v>227</v>
      </c>
      <c r="L223" s="4">
        <v>6</v>
      </c>
      <c r="M223" s="4">
        <v>3</v>
      </c>
      <c r="N223" s="4" t="s">
        <v>3</v>
      </c>
      <c r="O223" s="4">
        <v>2</v>
      </c>
      <c r="P223" s="4"/>
    </row>
    <row r="224" spans="1:205" x14ac:dyDescent="0.2">
      <c r="A224" s="4">
        <v>50</v>
      </c>
      <c r="B224" s="4">
        <v>0</v>
      </c>
      <c r="C224" s="4">
        <v>0</v>
      </c>
      <c r="D224" s="4">
        <v>1</v>
      </c>
      <c r="E224" s="4">
        <v>228</v>
      </c>
      <c r="F224" s="4">
        <f>ROUND(Source!AY216,O224)</f>
        <v>0</v>
      </c>
      <c r="G224" s="4" t="s">
        <v>102</v>
      </c>
      <c r="H224" s="4" t="s">
        <v>103</v>
      </c>
      <c r="I224" s="4"/>
      <c r="J224" s="4"/>
      <c r="K224" s="4">
        <v>228</v>
      </c>
      <c r="L224" s="4">
        <v>7</v>
      </c>
      <c r="M224" s="4">
        <v>3</v>
      </c>
      <c r="N224" s="4" t="s">
        <v>3</v>
      </c>
      <c r="O224" s="4">
        <v>2</v>
      </c>
      <c r="P224" s="4"/>
    </row>
    <row r="225" spans="1:16" x14ac:dyDescent="0.2">
      <c r="A225" s="4">
        <v>50</v>
      </c>
      <c r="B225" s="4">
        <v>0</v>
      </c>
      <c r="C225" s="4">
        <v>0</v>
      </c>
      <c r="D225" s="4">
        <v>1</v>
      </c>
      <c r="E225" s="4">
        <v>216</v>
      </c>
      <c r="F225" s="4">
        <f>ROUND(Source!AP216,O225)</f>
        <v>0</v>
      </c>
      <c r="G225" s="4" t="s">
        <v>104</v>
      </c>
      <c r="H225" s="4" t="s">
        <v>105</v>
      </c>
      <c r="I225" s="4"/>
      <c r="J225" s="4"/>
      <c r="K225" s="4">
        <v>216</v>
      </c>
      <c r="L225" s="4">
        <v>8</v>
      </c>
      <c r="M225" s="4">
        <v>3</v>
      </c>
      <c r="N225" s="4" t="s">
        <v>3</v>
      </c>
      <c r="O225" s="4">
        <v>2</v>
      </c>
      <c r="P225" s="4"/>
    </row>
    <row r="226" spans="1:16" x14ac:dyDescent="0.2">
      <c r="A226" s="4">
        <v>50</v>
      </c>
      <c r="B226" s="4">
        <v>0</v>
      </c>
      <c r="C226" s="4">
        <v>0</v>
      </c>
      <c r="D226" s="4">
        <v>1</v>
      </c>
      <c r="E226" s="4">
        <v>223</v>
      </c>
      <c r="F226" s="4">
        <f>ROUND(Source!AQ216,O226)</f>
        <v>0</v>
      </c>
      <c r="G226" s="4" t="s">
        <v>106</v>
      </c>
      <c r="H226" s="4" t="s">
        <v>107</v>
      </c>
      <c r="I226" s="4"/>
      <c r="J226" s="4"/>
      <c r="K226" s="4">
        <v>223</v>
      </c>
      <c r="L226" s="4">
        <v>9</v>
      </c>
      <c r="M226" s="4">
        <v>3</v>
      </c>
      <c r="N226" s="4" t="s">
        <v>3</v>
      </c>
      <c r="O226" s="4">
        <v>2</v>
      </c>
      <c r="P226" s="4"/>
    </row>
    <row r="227" spans="1:16" x14ac:dyDescent="0.2">
      <c r="A227" s="4">
        <v>50</v>
      </c>
      <c r="B227" s="4">
        <v>0</v>
      </c>
      <c r="C227" s="4">
        <v>0</v>
      </c>
      <c r="D227" s="4">
        <v>1</v>
      </c>
      <c r="E227" s="4">
        <v>229</v>
      </c>
      <c r="F227" s="4">
        <f>ROUND(Source!AZ216,O227)</f>
        <v>0</v>
      </c>
      <c r="G227" s="4" t="s">
        <v>108</v>
      </c>
      <c r="H227" s="4" t="s">
        <v>109</v>
      </c>
      <c r="I227" s="4"/>
      <c r="J227" s="4"/>
      <c r="K227" s="4">
        <v>229</v>
      </c>
      <c r="L227" s="4">
        <v>10</v>
      </c>
      <c r="M227" s="4">
        <v>3</v>
      </c>
      <c r="N227" s="4" t="s">
        <v>3</v>
      </c>
      <c r="O227" s="4">
        <v>2</v>
      </c>
      <c r="P227" s="4"/>
    </row>
    <row r="228" spans="1:16" x14ac:dyDescent="0.2">
      <c r="A228" s="4">
        <v>50</v>
      </c>
      <c r="B228" s="4">
        <v>0</v>
      </c>
      <c r="C228" s="4">
        <v>0</v>
      </c>
      <c r="D228" s="4">
        <v>1</v>
      </c>
      <c r="E228" s="4">
        <v>203</v>
      </c>
      <c r="F228" s="4">
        <f>ROUND(Source!Q216,O228)</f>
        <v>120805.03</v>
      </c>
      <c r="G228" s="4" t="s">
        <v>110</v>
      </c>
      <c r="H228" s="4" t="s">
        <v>111</v>
      </c>
      <c r="I228" s="4"/>
      <c r="J228" s="4"/>
      <c r="K228" s="4">
        <v>203</v>
      </c>
      <c r="L228" s="4">
        <v>11</v>
      </c>
      <c r="M228" s="4">
        <v>3</v>
      </c>
      <c r="N228" s="4" t="s">
        <v>3</v>
      </c>
      <c r="O228" s="4">
        <v>2</v>
      </c>
      <c r="P228" s="4"/>
    </row>
    <row r="229" spans="1:16" x14ac:dyDescent="0.2">
      <c r="A229" s="4">
        <v>50</v>
      </c>
      <c r="B229" s="4">
        <v>0</v>
      </c>
      <c r="C229" s="4">
        <v>0</v>
      </c>
      <c r="D229" s="4">
        <v>1</v>
      </c>
      <c r="E229" s="4">
        <v>204</v>
      </c>
      <c r="F229" s="4">
        <f>ROUND(Source!R216,O229)</f>
        <v>9543.74</v>
      </c>
      <c r="G229" s="4" t="s">
        <v>112</v>
      </c>
      <c r="H229" s="4" t="s">
        <v>113</v>
      </c>
      <c r="I229" s="4"/>
      <c r="J229" s="4"/>
      <c r="K229" s="4">
        <v>204</v>
      </c>
      <c r="L229" s="4">
        <v>12</v>
      </c>
      <c r="M229" s="4">
        <v>3</v>
      </c>
      <c r="N229" s="4" t="s">
        <v>3</v>
      </c>
      <c r="O229" s="4">
        <v>2</v>
      </c>
      <c r="P229" s="4"/>
    </row>
    <row r="230" spans="1:16" x14ac:dyDescent="0.2">
      <c r="A230" s="4">
        <v>50</v>
      </c>
      <c r="B230" s="4">
        <v>0</v>
      </c>
      <c r="C230" s="4">
        <v>0</v>
      </c>
      <c r="D230" s="4">
        <v>1</v>
      </c>
      <c r="E230" s="4">
        <v>205</v>
      </c>
      <c r="F230" s="4">
        <f>ROUND(Source!S216,O230)</f>
        <v>144051.09</v>
      </c>
      <c r="G230" s="4" t="s">
        <v>114</v>
      </c>
      <c r="H230" s="4" t="s">
        <v>115</v>
      </c>
      <c r="I230" s="4"/>
      <c r="J230" s="4"/>
      <c r="K230" s="4">
        <v>205</v>
      </c>
      <c r="L230" s="4">
        <v>13</v>
      </c>
      <c r="M230" s="4">
        <v>3</v>
      </c>
      <c r="N230" s="4" t="s">
        <v>3</v>
      </c>
      <c r="O230" s="4">
        <v>2</v>
      </c>
      <c r="P230" s="4"/>
    </row>
    <row r="231" spans="1:16" x14ac:dyDescent="0.2">
      <c r="A231" s="4">
        <v>50</v>
      </c>
      <c r="B231" s="4">
        <v>0</v>
      </c>
      <c r="C231" s="4">
        <v>0</v>
      </c>
      <c r="D231" s="4">
        <v>1</v>
      </c>
      <c r="E231" s="4">
        <v>214</v>
      </c>
      <c r="F231" s="4">
        <f>ROUND(Source!AS216,O231)</f>
        <v>435906.88</v>
      </c>
      <c r="G231" s="4" t="s">
        <v>116</v>
      </c>
      <c r="H231" s="4" t="s">
        <v>117</v>
      </c>
      <c r="I231" s="4"/>
      <c r="J231" s="4"/>
      <c r="K231" s="4">
        <v>214</v>
      </c>
      <c r="L231" s="4">
        <v>14</v>
      </c>
      <c r="M231" s="4">
        <v>3</v>
      </c>
      <c r="N231" s="4" t="s">
        <v>3</v>
      </c>
      <c r="O231" s="4">
        <v>2</v>
      </c>
      <c r="P231" s="4"/>
    </row>
    <row r="232" spans="1:16" x14ac:dyDescent="0.2">
      <c r="A232" s="4">
        <v>50</v>
      </c>
      <c r="B232" s="4">
        <v>0</v>
      </c>
      <c r="C232" s="4">
        <v>0</v>
      </c>
      <c r="D232" s="4">
        <v>1</v>
      </c>
      <c r="E232" s="4">
        <v>215</v>
      </c>
      <c r="F232" s="4">
        <f>ROUND(Source!AT216,O232)</f>
        <v>0</v>
      </c>
      <c r="G232" s="4" t="s">
        <v>118</v>
      </c>
      <c r="H232" s="4" t="s">
        <v>119</v>
      </c>
      <c r="I232" s="4"/>
      <c r="J232" s="4"/>
      <c r="K232" s="4">
        <v>215</v>
      </c>
      <c r="L232" s="4">
        <v>15</v>
      </c>
      <c r="M232" s="4">
        <v>3</v>
      </c>
      <c r="N232" s="4" t="s">
        <v>3</v>
      </c>
      <c r="O232" s="4">
        <v>2</v>
      </c>
      <c r="P232" s="4"/>
    </row>
    <row r="233" spans="1:16" x14ac:dyDescent="0.2">
      <c r="A233" s="4">
        <v>50</v>
      </c>
      <c r="B233" s="4">
        <v>0</v>
      </c>
      <c r="C233" s="4">
        <v>0</v>
      </c>
      <c r="D233" s="4">
        <v>1</v>
      </c>
      <c r="E233" s="4">
        <v>217</v>
      </c>
      <c r="F233" s="4">
        <f>ROUND(Source!AU216,O233)</f>
        <v>95729.34</v>
      </c>
      <c r="G233" s="4" t="s">
        <v>120</v>
      </c>
      <c r="H233" s="4" t="s">
        <v>121</v>
      </c>
      <c r="I233" s="4"/>
      <c r="J233" s="4"/>
      <c r="K233" s="4">
        <v>217</v>
      </c>
      <c r="L233" s="4">
        <v>16</v>
      </c>
      <c r="M233" s="4">
        <v>3</v>
      </c>
      <c r="N233" s="4" t="s">
        <v>3</v>
      </c>
      <c r="O233" s="4">
        <v>2</v>
      </c>
      <c r="P233" s="4"/>
    </row>
    <row r="234" spans="1:16" x14ac:dyDescent="0.2">
      <c r="A234" s="4">
        <v>50</v>
      </c>
      <c r="B234" s="4">
        <v>0</v>
      </c>
      <c r="C234" s="4">
        <v>0</v>
      </c>
      <c r="D234" s="4">
        <v>1</v>
      </c>
      <c r="E234" s="4">
        <v>206</v>
      </c>
      <c r="F234" s="4">
        <f>ROUND(Source!T216,O234)</f>
        <v>0</v>
      </c>
      <c r="G234" s="4" t="s">
        <v>122</v>
      </c>
      <c r="H234" s="4" t="s">
        <v>123</v>
      </c>
      <c r="I234" s="4"/>
      <c r="J234" s="4"/>
      <c r="K234" s="4">
        <v>206</v>
      </c>
      <c r="L234" s="4">
        <v>17</v>
      </c>
      <c r="M234" s="4">
        <v>3</v>
      </c>
      <c r="N234" s="4" t="s">
        <v>3</v>
      </c>
      <c r="O234" s="4">
        <v>2</v>
      </c>
      <c r="P234" s="4"/>
    </row>
    <row r="235" spans="1:16" x14ac:dyDescent="0.2">
      <c r="A235" s="4">
        <v>50</v>
      </c>
      <c r="B235" s="4">
        <v>0</v>
      </c>
      <c r="C235" s="4">
        <v>0</v>
      </c>
      <c r="D235" s="4">
        <v>1</v>
      </c>
      <c r="E235" s="4">
        <v>207</v>
      </c>
      <c r="F235" s="4">
        <f>Source!U216</f>
        <v>672.46662524503995</v>
      </c>
      <c r="G235" s="4" t="s">
        <v>124</v>
      </c>
      <c r="H235" s="4" t="s">
        <v>125</v>
      </c>
      <c r="I235" s="4"/>
      <c r="J235" s="4"/>
      <c r="K235" s="4">
        <v>207</v>
      </c>
      <c r="L235" s="4">
        <v>18</v>
      </c>
      <c r="M235" s="4">
        <v>3</v>
      </c>
      <c r="N235" s="4" t="s">
        <v>3</v>
      </c>
      <c r="O235" s="4">
        <v>-1</v>
      </c>
      <c r="P235" s="4"/>
    </row>
    <row r="236" spans="1:16" x14ac:dyDescent="0.2">
      <c r="A236" s="4">
        <v>50</v>
      </c>
      <c r="B236" s="4">
        <v>0</v>
      </c>
      <c r="C236" s="4">
        <v>0</v>
      </c>
      <c r="D236" s="4">
        <v>1</v>
      </c>
      <c r="E236" s="4">
        <v>208</v>
      </c>
      <c r="F236" s="4">
        <f>Source!V216</f>
        <v>0</v>
      </c>
      <c r="G236" s="4" t="s">
        <v>126</v>
      </c>
      <c r="H236" s="4" t="s">
        <v>127</v>
      </c>
      <c r="I236" s="4"/>
      <c r="J236" s="4"/>
      <c r="K236" s="4">
        <v>208</v>
      </c>
      <c r="L236" s="4">
        <v>19</v>
      </c>
      <c r="M236" s="4">
        <v>3</v>
      </c>
      <c r="N236" s="4" t="s">
        <v>3</v>
      </c>
      <c r="O236" s="4">
        <v>-1</v>
      </c>
      <c r="P236" s="4"/>
    </row>
    <row r="237" spans="1:16" x14ac:dyDescent="0.2">
      <c r="A237" s="4">
        <v>50</v>
      </c>
      <c r="B237" s="4">
        <v>0</v>
      </c>
      <c r="C237" s="4">
        <v>0</v>
      </c>
      <c r="D237" s="4">
        <v>1</v>
      </c>
      <c r="E237" s="4">
        <v>209</v>
      </c>
      <c r="F237" s="4">
        <f>ROUND(Source!W216,O237)</f>
        <v>0</v>
      </c>
      <c r="G237" s="4" t="s">
        <v>128</v>
      </c>
      <c r="H237" s="4" t="s">
        <v>129</v>
      </c>
      <c r="I237" s="4"/>
      <c r="J237" s="4"/>
      <c r="K237" s="4">
        <v>209</v>
      </c>
      <c r="L237" s="4">
        <v>20</v>
      </c>
      <c r="M237" s="4">
        <v>3</v>
      </c>
      <c r="N237" s="4" t="s">
        <v>3</v>
      </c>
      <c r="O237" s="4">
        <v>2</v>
      </c>
      <c r="P237" s="4"/>
    </row>
    <row r="238" spans="1:16" x14ac:dyDescent="0.2">
      <c r="A238" s="4">
        <v>50</v>
      </c>
      <c r="B238" s="4">
        <v>0</v>
      </c>
      <c r="C238" s="4">
        <v>0</v>
      </c>
      <c r="D238" s="4">
        <v>1</v>
      </c>
      <c r="E238" s="4">
        <v>210</v>
      </c>
      <c r="F238" s="4">
        <f>ROUND(Source!X216,O238)</f>
        <v>170430.58</v>
      </c>
      <c r="G238" s="4" t="s">
        <v>130</v>
      </c>
      <c r="H238" s="4" t="s">
        <v>131</v>
      </c>
      <c r="I238" s="4"/>
      <c r="J238" s="4"/>
      <c r="K238" s="4">
        <v>210</v>
      </c>
      <c r="L238" s="4">
        <v>21</v>
      </c>
      <c r="M238" s="4">
        <v>3</v>
      </c>
      <c r="N238" s="4" t="s">
        <v>3</v>
      </c>
      <c r="O238" s="4">
        <v>2</v>
      </c>
      <c r="P238" s="4"/>
    </row>
    <row r="239" spans="1:16" x14ac:dyDescent="0.2">
      <c r="A239" s="4">
        <v>50</v>
      </c>
      <c r="B239" s="4">
        <v>0</v>
      </c>
      <c r="C239" s="4">
        <v>0</v>
      </c>
      <c r="D239" s="4">
        <v>1</v>
      </c>
      <c r="E239" s="4">
        <v>211</v>
      </c>
      <c r="F239" s="4">
        <f>ROUND(Source!Y216,O239)</f>
        <v>80411.47</v>
      </c>
      <c r="G239" s="4" t="s">
        <v>132</v>
      </c>
      <c r="H239" s="4" t="s">
        <v>133</v>
      </c>
      <c r="I239" s="4"/>
      <c r="J239" s="4"/>
      <c r="K239" s="4">
        <v>211</v>
      </c>
      <c r="L239" s="4">
        <v>22</v>
      </c>
      <c r="M239" s="4">
        <v>3</v>
      </c>
      <c r="N239" s="4" t="s">
        <v>3</v>
      </c>
      <c r="O239" s="4">
        <v>2</v>
      </c>
      <c r="P239" s="4"/>
    </row>
    <row r="240" spans="1:16" x14ac:dyDescent="0.2">
      <c r="A240" s="4">
        <v>50</v>
      </c>
      <c r="B240" s="4">
        <v>0</v>
      </c>
      <c r="C240" s="4">
        <v>0</v>
      </c>
      <c r="D240" s="4">
        <v>1</v>
      </c>
      <c r="E240" s="4">
        <v>224</v>
      </c>
      <c r="F240" s="4">
        <f>ROUND(Source!AR216,O240)</f>
        <v>531636.22</v>
      </c>
      <c r="G240" s="4" t="s">
        <v>134</v>
      </c>
      <c r="H240" s="4" t="s">
        <v>135</v>
      </c>
      <c r="I240" s="4"/>
      <c r="J240" s="4"/>
      <c r="K240" s="4">
        <v>224</v>
      </c>
      <c r="L240" s="4">
        <v>23</v>
      </c>
      <c r="M240" s="4">
        <v>3</v>
      </c>
      <c r="N240" s="4" t="s">
        <v>3</v>
      </c>
      <c r="O240" s="4">
        <v>2</v>
      </c>
      <c r="P240" s="4"/>
    </row>
    <row r="242" spans="1:118" x14ac:dyDescent="0.2">
      <c r="A242" s="2">
        <v>51</v>
      </c>
      <c r="B242" s="2">
        <f>B20</f>
        <v>1</v>
      </c>
      <c r="C242" s="2">
        <f>A20</f>
        <v>3</v>
      </c>
      <c r="D242" s="2">
        <f>ROW(A20)</f>
        <v>20</v>
      </c>
      <c r="E242" s="2"/>
      <c r="F242" s="2" t="str">
        <f>IF(F20&lt;&gt;"",F20,"")</f>
        <v>Новая локальная смета</v>
      </c>
      <c r="G242" s="2" t="str">
        <f>IF(G20&lt;&gt;"",G20,"")</f>
        <v/>
      </c>
      <c r="H242" s="2"/>
      <c r="I242" s="2"/>
      <c r="J242" s="2"/>
      <c r="K242" s="2"/>
      <c r="L242" s="2"/>
      <c r="M242" s="2"/>
      <c r="N242" s="2"/>
      <c r="O242" s="2">
        <f t="shared" ref="O242:T242" si="220">ROUND(O42+O84+O128+O177+O216+AB242,2)</f>
        <v>10919730.689999999</v>
      </c>
      <c r="P242" s="2">
        <f t="shared" si="220"/>
        <v>4659901.8499999996</v>
      </c>
      <c r="Q242" s="2">
        <f t="shared" si="220"/>
        <v>2399701.85</v>
      </c>
      <c r="R242" s="2">
        <f t="shared" si="220"/>
        <v>44198.29</v>
      </c>
      <c r="S242" s="2">
        <f t="shared" si="220"/>
        <v>3860126.99</v>
      </c>
      <c r="T242" s="2">
        <f t="shared" si="220"/>
        <v>0</v>
      </c>
      <c r="U242" s="2">
        <f>U42+U84+U128+U177+U216+AH242</f>
        <v>1141.0497640173919</v>
      </c>
      <c r="V242" s="2">
        <f>V42+V84+V128+V177+V216+AI242</f>
        <v>0</v>
      </c>
      <c r="W242" s="2">
        <f>ROUND(W42+W84+W128+W177+W216+AJ242,2)</f>
        <v>915.4</v>
      </c>
      <c r="X242" s="2">
        <f>ROUND(X42+X84+X128+X177+X216+AK242,2)</f>
        <v>303722.88</v>
      </c>
      <c r="Y242" s="2">
        <f>ROUND(Y42+Y84+Y128+Y177+Y216+AL242,2)</f>
        <v>147306.81</v>
      </c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>
        <f t="shared" ref="AO242:AZ242" si="221">ROUND(AO42+AO84+AO128+AO177+AO216+BB242,2)</f>
        <v>0</v>
      </c>
      <c r="AP242" s="2">
        <f t="shared" si="221"/>
        <v>94388.08</v>
      </c>
      <c r="AQ242" s="2">
        <f t="shared" si="221"/>
        <v>0</v>
      </c>
      <c r="AR242" s="2">
        <f t="shared" si="221"/>
        <v>11444571.529999999</v>
      </c>
      <c r="AS242" s="2">
        <f t="shared" si="221"/>
        <v>10524714.25</v>
      </c>
      <c r="AT242" s="2">
        <f t="shared" si="221"/>
        <v>0</v>
      </c>
      <c r="AU242" s="2">
        <f t="shared" si="221"/>
        <v>825469.2</v>
      </c>
      <c r="AV242" s="2">
        <f t="shared" si="221"/>
        <v>4659901.8499999996</v>
      </c>
      <c r="AW242" s="2">
        <f t="shared" si="221"/>
        <v>4565513.7699999996</v>
      </c>
      <c r="AX242" s="2">
        <f t="shared" si="221"/>
        <v>0</v>
      </c>
      <c r="AY242" s="2">
        <f t="shared" si="221"/>
        <v>4565513.7699999996</v>
      </c>
      <c r="AZ242" s="2">
        <f t="shared" si="221"/>
        <v>94388.08</v>
      </c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  <c r="DJ242" s="3"/>
      <c r="DK242" s="3"/>
      <c r="DL242" s="3"/>
      <c r="DM242" s="3"/>
      <c r="DN242" s="3">
        <v>0</v>
      </c>
    </row>
    <row r="244" spans="1:118" x14ac:dyDescent="0.2">
      <c r="A244" s="4">
        <v>50</v>
      </c>
      <c r="B244" s="4">
        <v>0</v>
      </c>
      <c r="C244" s="4">
        <v>0</v>
      </c>
      <c r="D244" s="4">
        <v>1</v>
      </c>
      <c r="E244" s="4">
        <v>201</v>
      </c>
      <c r="F244" s="4">
        <f>ROUND(Source!O242,O244)</f>
        <v>10919730.689999999</v>
      </c>
      <c r="G244" s="4" t="s">
        <v>90</v>
      </c>
      <c r="H244" s="4" t="s">
        <v>91</v>
      </c>
      <c r="I244" s="4"/>
      <c r="J244" s="4"/>
      <c r="K244" s="4">
        <v>201</v>
      </c>
      <c r="L244" s="4">
        <v>1</v>
      </c>
      <c r="M244" s="4">
        <v>3</v>
      </c>
      <c r="N244" s="4" t="s">
        <v>3</v>
      </c>
      <c r="O244" s="4">
        <v>2</v>
      </c>
      <c r="P244" s="4"/>
    </row>
    <row r="245" spans="1:118" x14ac:dyDescent="0.2">
      <c r="A245" s="4">
        <v>50</v>
      </c>
      <c r="B245" s="4">
        <v>0</v>
      </c>
      <c r="C245" s="4">
        <v>0</v>
      </c>
      <c r="D245" s="4">
        <v>1</v>
      </c>
      <c r="E245" s="4">
        <v>202</v>
      </c>
      <c r="F245" s="4">
        <f>ROUND(Source!P242,O245)</f>
        <v>4659901.8499999996</v>
      </c>
      <c r="G245" s="4" t="s">
        <v>92</v>
      </c>
      <c r="H245" s="4" t="s">
        <v>93</v>
      </c>
      <c r="I245" s="4"/>
      <c r="J245" s="4"/>
      <c r="K245" s="4">
        <v>202</v>
      </c>
      <c r="L245" s="4">
        <v>2</v>
      </c>
      <c r="M245" s="4">
        <v>3</v>
      </c>
      <c r="N245" s="4" t="s">
        <v>3</v>
      </c>
      <c r="O245" s="4">
        <v>2</v>
      </c>
      <c r="P245" s="4"/>
    </row>
    <row r="246" spans="1:118" x14ac:dyDescent="0.2">
      <c r="A246" s="4">
        <v>50</v>
      </c>
      <c r="B246" s="4">
        <v>0</v>
      </c>
      <c r="C246" s="4">
        <v>0</v>
      </c>
      <c r="D246" s="4">
        <v>1</v>
      </c>
      <c r="E246" s="4">
        <v>222</v>
      </c>
      <c r="F246" s="4">
        <f>ROUND(Source!AO242,O246)</f>
        <v>0</v>
      </c>
      <c r="G246" s="4" t="s">
        <v>94</v>
      </c>
      <c r="H246" s="4" t="s">
        <v>95</v>
      </c>
      <c r="I246" s="4"/>
      <c r="J246" s="4"/>
      <c r="K246" s="4">
        <v>222</v>
      </c>
      <c r="L246" s="4">
        <v>3</v>
      </c>
      <c r="M246" s="4">
        <v>3</v>
      </c>
      <c r="N246" s="4" t="s">
        <v>3</v>
      </c>
      <c r="O246" s="4">
        <v>2</v>
      </c>
      <c r="P246" s="4"/>
    </row>
    <row r="247" spans="1:118" x14ac:dyDescent="0.2">
      <c r="A247" s="4">
        <v>50</v>
      </c>
      <c r="B247" s="4">
        <v>0</v>
      </c>
      <c r="C247" s="4">
        <v>0</v>
      </c>
      <c r="D247" s="4">
        <v>1</v>
      </c>
      <c r="E247" s="4">
        <v>225</v>
      </c>
      <c r="F247" s="4">
        <f>ROUND(Source!AV242,O247)</f>
        <v>4659901.8499999996</v>
      </c>
      <c r="G247" s="4" t="s">
        <v>96</v>
      </c>
      <c r="H247" s="4" t="s">
        <v>97</v>
      </c>
      <c r="I247" s="4"/>
      <c r="J247" s="4"/>
      <c r="K247" s="4">
        <v>225</v>
      </c>
      <c r="L247" s="4">
        <v>4</v>
      </c>
      <c r="M247" s="4">
        <v>3</v>
      </c>
      <c r="N247" s="4" t="s">
        <v>3</v>
      </c>
      <c r="O247" s="4">
        <v>2</v>
      </c>
      <c r="P247" s="4"/>
    </row>
    <row r="248" spans="1:118" x14ac:dyDescent="0.2">
      <c r="A248" s="4">
        <v>50</v>
      </c>
      <c r="B248" s="4">
        <v>0</v>
      </c>
      <c r="C248" s="4">
        <v>0</v>
      </c>
      <c r="D248" s="4">
        <v>1</v>
      </c>
      <c r="E248" s="4">
        <v>226</v>
      </c>
      <c r="F248" s="4">
        <f>ROUND(Source!AW242,O248)</f>
        <v>4565513.7699999996</v>
      </c>
      <c r="G248" s="4" t="s">
        <v>98</v>
      </c>
      <c r="H248" s="4" t="s">
        <v>99</v>
      </c>
      <c r="I248" s="4"/>
      <c r="J248" s="4"/>
      <c r="K248" s="4">
        <v>226</v>
      </c>
      <c r="L248" s="4">
        <v>5</v>
      </c>
      <c r="M248" s="4">
        <v>3</v>
      </c>
      <c r="N248" s="4" t="s">
        <v>3</v>
      </c>
      <c r="O248" s="4">
        <v>2</v>
      </c>
      <c r="P248" s="4"/>
    </row>
    <row r="249" spans="1:118" x14ac:dyDescent="0.2">
      <c r="A249" s="4">
        <v>50</v>
      </c>
      <c r="B249" s="4">
        <v>0</v>
      </c>
      <c r="C249" s="4">
        <v>0</v>
      </c>
      <c r="D249" s="4">
        <v>1</v>
      </c>
      <c r="E249" s="4">
        <v>227</v>
      </c>
      <c r="F249" s="4">
        <f>ROUND(Source!AX242,O249)</f>
        <v>0</v>
      </c>
      <c r="G249" s="4" t="s">
        <v>100</v>
      </c>
      <c r="H249" s="4" t="s">
        <v>101</v>
      </c>
      <c r="I249" s="4"/>
      <c r="J249" s="4"/>
      <c r="K249" s="4">
        <v>227</v>
      </c>
      <c r="L249" s="4">
        <v>6</v>
      </c>
      <c r="M249" s="4">
        <v>3</v>
      </c>
      <c r="N249" s="4" t="s">
        <v>3</v>
      </c>
      <c r="O249" s="4">
        <v>2</v>
      </c>
      <c r="P249" s="4"/>
    </row>
    <row r="250" spans="1:118" x14ac:dyDescent="0.2">
      <c r="A250" s="4">
        <v>50</v>
      </c>
      <c r="B250" s="4">
        <v>0</v>
      </c>
      <c r="C250" s="4">
        <v>0</v>
      </c>
      <c r="D250" s="4">
        <v>1</v>
      </c>
      <c r="E250" s="4">
        <v>228</v>
      </c>
      <c r="F250" s="4">
        <f>ROUND(Source!AY242,O250)</f>
        <v>4565513.7699999996</v>
      </c>
      <c r="G250" s="4" t="s">
        <v>102</v>
      </c>
      <c r="H250" s="4" t="s">
        <v>103</v>
      </c>
      <c r="I250" s="4"/>
      <c r="J250" s="4"/>
      <c r="K250" s="4">
        <v>228</v>
      </c>
      <c r="L250" s="4">
        <v>7</v>
      </c>
      <c r="M250" s="4">
        <v>3</v>
      </c>
      <c r="N250" s="4" t="s">
        <v>3</v>
      </c>
      <c r="O250" s="4">
        <v>2</v>
      </c>
      <c r="P250" s="4"/>
    </row>
    <row r="251" spans="1:118" x14ac:dyDescent="0.2">
      <c r="A251" s="4">
        <v>50</v>
      </c>
      <c r="B251" s="4">
        <v>0</v>
      </c>
      <c r="C251" s="4">
        <v>0</v>
      </c>
      <c r="D251" s="4">
        <v>1</v>
      </c>
      <c r="E251" s="4">
        <v>216</v>
      </c>
      <c r="F251" s="4">
        <f>ROUND(Source!AP242,O251)</f>
        <v>94388.08</v>
      </c>
      <c r="G251" s="4" t="s">
        <v>104</v>
      </c>
      <c r="H251" s="4" t="s">
        <v>105</v>
      </c>
      <c r="I251" s="4"/>
      <c r="J251" s="4"/>
      <c r="K251" s="4">
        <v>216</v>
      </c>
      <c r="L251" s="4">
        <v>8</v>
      </c>
      <c r="M251" s="4">
        <v>3</v>
      </c>
      <c r="N251" s="4" t="s">
        <v>3</v>
      </c>
      <c r="O251" s="4">
        <v>2</v>
      </c>
      <c r="P251" s="4"/>
    </row>
    <row r="252" spans="1:118" x14ac:dyDescent="0.2">
      <c r="A252" s="4">
        <v>50</v>
      </c>
      <c r="B252" s="4">
        <v>0</v>
      </c>
      <c r="C252" s="4">
        <v>0</v>
      </c>
      <c r="D252" s="4">
        <v>1</v>
      </c>
      <c r="E252" s="4">
        <v>223</v>
      </c>
      <c r="F252" s="4">
        <f>ROUND(Source!AQ242,O252)</f>
        <v>0</v>
      </c>
      <c r="G252" s="4" t="s">
        <v>106</v>
      </c>
      <c r="H252" s="4" t="s">
        <v>107</v>
      </c>
      <c r="I252" s="4"/>
      <c r="J252" s="4"/>
      <c r="K252" s="4">
        <v>223</v>
      </c>
      <c r="L252" s="4">
        <v>9</v>
      </c>
      <c r="M252" s="4">
        <v>3</v>
      </c>
      <c r="N252" s="4" t="s">
        <v>3</v>
      </c>
      <c r="O252" s="4">
        <v>2</v>
      </c>
      <c r="P252" s="4"/>
    </row>
    <row r="253" spans="1:118" x14ac:dyDescent="0.2">
      <c r="A253" s="4">
        <v>50</v>
      </c>
      <c r="B253" s="4">
        <v>0</v>
      </c>
      <c r="C253" s="4">
        <v>0</v>
      </c>
      <c r="D253" s="4">
        <v>1</v>
      </c>
      <c r="E253" s="4">
        <v>229</v>
      </c>
      <c r="F253" s="4">
        <f>ROUND(Source!AZ242,O253)</f>
        <v>94388.08</v>
      </c>
      <c r="G253" s="4" t="s">
        <v>108</v>
      </c>
      <c r="H253" s="4" t="s">
        <v>109</v>
      </c>
      <c r="I253" s="4"/>
      <c r="J253" s="4"/>
      <c r="K253" s="4">
        <v>229</v>
      </c>
      <c r="L253" s="4">
        <v>10</v>
      </c>
      <c r="M253" s="4">
        <v>3</v>
      </c>
      <c r="N253" s="4" t="s">
        <v>3</v>
      </c>
      <c r="O253" s="4">
        <v>2</v>
      </c>
      <c r="P253" s="4"/>
    </row>
    <row r="254" spans="1:118" x14ac:dyDescent="0.2">
      <c r="A254" s="4">
        <v>50</v>
      </c>
      <c r="B254" s="4">
        <v>0</v>
      </c>
      <c r="C254" s="4">
        <v>0</v>
      </c>
      <c r="D254" s="4">
        <v>1</v>
      </c>
      <c r="E254" s="4">
        <v>203</v>
      </c>
      <c r="F254" s="4">
        <f>ROUND(Source!Q242,O254)</f>
        <v>2399701.85</v>
      </c>
      <c r="G254" s="4" t="s">
        <v>110</v>
      </c>
      <c r="H254" s="4" t="s">
        <v>111</v>
      </c>
      <c r="I254" s="4"/>
      <c r="J254" s="4"/>
      <c r="K254" s="4">
        <v>203</v>
      </c>
      <c r="L254" s="4">
        <v>11</v>
      </c>
      <c r="M254" s="4">
        <v>3</v>
      </c>
      <c r="N254" s="4" t="s">
        <v>3</v>
      </c>
      <c r="O254" s="4">
        <v>2</v>
      </c>
      <c r="P254" s="4"/>
    </row>
    <row r="255" spans="1:118" x14ac:dyDescent="0.2">
      <c r="A255" s="4">
        <v>50</v>
      </c>
      <c r="B255" s="4">
        <v>0</v>
      </c>
      <c r="C255" s="4">
        <v>0</v>
      </c>
      <c r="D255" s="4">
        <v>1</v>
      </c>
      <c r="E255" s="4">
        <v>204</v>
      </c>
      <c r="F255" s="4">
        <f>ROUND(Source!R242,O255)</f>
        <v>44198.29</v>
      </c>
      <c r="G255" s="4" t="s">
        <v>112</v>
      </c>
      <c r="H255" s="4" t="s">
        <v>113</v>
      </c>
      <c r="I255" s="4"/>
      <c r="J255" s="4"/>
      <c r="K255" s="4">
        <v>204</v>
      </c>
      <c r="L255" s="4">
        <v>12</v>
      </c>
      <c r="M255" s="4">
        <v>3</v>
      </c>
      <c r="N255" s="4" t="s">
        <v>3</v>
      </c>
      <c r="O255" s="4">
        <v>2</v>
      </c>
      <c r="P255" s="4"/>
    </row>
    <row r="256" spans="1:118" x14ac:dyDescent="0.2">
      <c r="A256" s="4">
        <v>50</v>
      </c>
      <c r="B256" s="4">
        <v>0</v>
      </c>
      <c r="C256" s="4">
        <v>0</v>
      </c>
      <c r="D256" s="4">
        <v>1</v>
      </c>
      <c r="E256" s="4">
        <v>205</v>
      </c>
      <c r="F256" s="4">
        <f>ROUND(Source!S242,O256)</f>
        <v>3860126.99</v>
      </c>
      <c r="G256" s="4" t="s">
        <v>114</v>
      </c>
      <c r="H256" s="4" t="s">
        <v>115</v>
      </c>
      <c r="I256" s="4"/>
      <c r="J256" s="4"/>
      <c r="K256" s="4">
        <v>205</v>
      </c>
      <c r="L256" s="4">
        <v>13</v>
      </c>
      <c r="M256" s="4">
        <v>3</v>
      </c>
      <c r="N256" s="4" t="s">
        <v>3</v>
      </c>
      <c r="O256" s="4">
        <v>2</v>
      </c>
      <c r="P256" s="4"/>
    </row>
    <row r="257" spans="1:118" x14ac:dyDescent="0.2">
      <c r="A257" s="4">
        <v>50</v>
      </c>
      <c r="B257" s="4">
        <v>0</v>
      </c>
      <c r="C257" s="4">
        <v>0</v>
      </c>
      <c r="D257" s="4">
        <v>1</v>
      </c>
      <c r="E257" s="4">
        <v>214</v>
      </c>
      <c r="F257" s="4">
        <f>ROUND(Source!AS242,O257)</f>
        <v>10524714.25</v>
      </c>
      <c r="G257" s="4" t="s">
        <v>116</v>
      </c>
      <c r="H257" s="4" t="s">
        <v>117</v>
      </c>
      <c r="I257" s="4"/>
      <c r="J257" s="4"/>
      <c r="K257" s="4">
        <v>214</v>
      </c>
      <c r="L257" s="4">
        <v>14</v>
      </c>
      <c r="M257" s="4">
        <v>3</v>
      </c>
      <c r="N257" s="4" t="s">
        <v>3</v>
      </c>
      <c r="O257" s="4">
        <v>2</v>
      </c>
      <c r="P257" s="4"/>
    </row>
    <row r="258" spans="1:118" x14ac:dyDescent="0.2">
      <c r="A258" s="4">
        <v>50</v>
      </c>
      <c r="B258" s="4">
        <v>0</v>
      </c>
      <c r="C258" s="4">
        <v>0</v>
      </c>
      <c r="D258" s="4">
        <v>1</v>
      </c>
      <c r="E258" s="4">
        <v>215</v>
      </c>
      <c r="F258" s="4">
        <f>ROUND(Source!AT242,O258)</f>
        <v>0</v>
      </c>
      <c r="G258" s="4" t="s">
        <v>118</v>
      </c>
      <c r="H258" s="4" t="s">
        <v>119</v>
      </c>
      <c r="I258" s="4"/>
      <c r="J258" s="4"/>
      <c r="K258" s="4">
        <v>215</v>
      </c>
      <c r="L258" s="4">
        <v>15</v>
      </c>
      <c r="M258" s="4">
        <v>3</v>
      </c>
      <c r="N258" s="4" t="s">
        <v>3</v>
      </c>
      <c r="O258" s="4">
        <v>2</v>
      </c>
      <c r="P258" s="4"/>
    </row>
    <row r="259" spans="1:118" x14ac:dyDescent="0.2">
      <c r="A259" s="4">
        <v>50</v>
      </c>
      <c r="B259" s="4">
        <v>0</v>
      </c>
      <c r="C259" s="4">
        <v>0</v>
      </c>
      <c r="D259" s="4">
        <v>1</v>
      </c>
      <c r="E259" s="4">
        <v>217</v>
      </c>
      <c r="F259" s="4">
        <f>ROUND(Source!AU242,O259)</f>
        <v>825469.2</v>
      </c>
      <c r="G259" s="4" t="s">
        <v>120</v>
      </c>
      <c r="H259" s="4" t="s">
        <v>121</v>
      </c>
      <c r="I259" s="4"/>
      <c r="J259" s="4"/>
      <c r="K259" s="4">
        <v>217</v>
      </c>
      <c r="L259" s="4">
        <v>16</v>
      </c>
      <c r="M259" s="4">
        <v>3</v>
      </c>
      <c r="N259" s="4" t="s">
        <v>3</v>
      </c>
      <c r="O259" s="4">
        <v>2</v>
      </c>
      <c r="P259" s="4"/>
    </row>
    <row r="260" spans="1:118" x14ac:dyDescent="0.2">
      <c r="A260" s="4">
        <v>50</v>
      </c>
      <c r="B260" s="4">
        <v>0</v>
      </c>
      <c r="C260" s="4">
        <v>0</v>
      </c>
      <c r="D260" s="4">
        <v>1</v>
      </c>
      <c r="E260" s="4">
        <v>206</v>
      </c>
      <c r="F260" s="4">
        <f>ROUND(Source!T242,O260)</f>
        <v>0</v>
      </c>
      <c r="G260" s="4" t="s">
        <v>122</v>
      </c>
      <c r="H260" s="4" t="s">
        <v>123</v>
      </c>
      <c r="I260" s="4"/>
      <c r="J260" s="4"/>
      <c r="K260" s="4">
        <v>206</v>
      </c>
      <c r="L260" s="4">
        <v>17</v>
      </c>
      <c r="M260" s="4">
        <v>3</v>
      </c>
      <c r="N260" s="4" t="s">
        <v>3</v>
      </c>
      <c r="O260" s="4">
        <v>2</v>
      </c>
      <c r="P260" s="4"/>
    </row>
    <row r="261" spans="1:118" x14ac:dyDescent="0.2">
      <c r="A261" s="4">
        <v>50</v>
      </c>
      <c r="B261" s="4">
        <v>0</v>
      </c>
      <c r="C261" s="4">
        <v>0</v>
      </c>
      <c r="D261" s="4">
        <v>1</v>
      </c>
      <c r="E261" s="4">
        <v>207</v>
      </c>
      <c r="F261" s="4">
        <f>Source!U242</f>
        <v>1141.0497640173919</v>
      </c>
      <c r="G261" s="4" t="s">
        <v>124</v>
      </c>
      <c r="H261" s="4" t="s">
        <v>125</v>
      </c>
      <c r="I261" s="4"/>
      <c r="J261" s="4"/>
      <c r="K261" s="4">
        <v>207</v>
      </c>
      <c r="L261" s="4">
        <v>18</v>
      </c>
      <c r="M261" s="4">
        <v>3</v>
      </c>
      <c r="N261" s="4" t="s">
        <v>3</v>
      </c>
      <c r="O261" s="4">
        <v>-1</v>
      </c>
      <c r="P261" s="4"/>
    </row>
    <row r="262" spans="1:118" x14ac:dyDescent="0.2">
      <c r="A262" s="4">
        <v>50</v>
      </c>
      <c r="B262" s="4">
        <v>0</v>
      </c>
      <c r="C262" s="4">
        <v>0</v>
      </c>
      <c r="D262" s="4">
        <v>1</v>
      </c>
      <c r="E262" s="4">
        <v>208</v>
      </c>
      <c r="F262" s="4">
        <f>Source!V242</f>
        <v>0</v>
      </c>
      <c r="G262" s="4" t="s">
        <v>126</v>
      </c>
      <c r="H262" s="4" t="s">
        <v>127</v>
      </c>
      <c r="I262" s="4"/>
      <c r="J262" s="4"/>
      <c r="K262" s="4">
        <v>208</v>
      </c>
      <c r="L262" s="4">
        <v>19</v>
      </c>
      <c r="M262" s="4">
        <v>3</v>
      </c>
      <c r="N262" s="4" t="s">
        <v>3</v>
      </c>
      <c r="O262" s="4">
        <v>-1</v>
      </c>
      <c r="P262" s="4"/>
    </row>
    <row r="263" spans="1:118" x14ac:dyDescent="0.2">
      <c r="A263" s="4">
        <v>50</v>
      </c>
      <c r="B263" s="4">
        <v>0</v>
      </c>
      <c r="C263" s="4">
        <v>0</v>
      </c>
      <c r="D263" s="4">
        <v>1</v>
      </c>
      <c r="E263" s="4">
        <v>209</v>
      </c>
      <c r="F263" s="4">
        <f>ROUND(Source!W242,O263)</f>
        <v>915.4</v>
      </c>
      <c r="G263" s="4" t="s">
        <v>128</v>
      </c>
      <c r="H263" s="4" t="s">
        <v>129</v>
      </c>
      <c r="I263" s="4"/>
      <c r="J263" s="4"/>
      <c r="K263" s="4">
        <v>209</v>
      </c>
      <c r="L263" s="4">
        <v>20</v>
      </c>
      <c r="M263" s="4">
        <v>3</v>
      </c>
      <c r="N263" s="4" t="s">
        <v>3</v>
      </c>
      <c r="O263" s="4">
        <v>2</v>
      </c>
      <c r="P263" s="4"/>
    </row>
    <row r="264" spans="1:118" x14ac:dyDescent="0.2">
      <c r="A264" s="4">
        <v>50</v>
      </c>
      <c r="B264" s="4">
        <v>0</v>
      </c>
      <c r="C264" s="4">
        <v>0</v>
      </c>
      <c r="D264" s="4">
        <v>1</v>
      </c>
      <c r="E264" s="4">
        <v>210</v>
      </c>
      <c r="F264" s="4">
        <f>ROUND(Source!X242,O264)</f>
        <v>303722.88</v>
      </c>
      <c r="G264" s="4" t="s">
        <v>130</v>
      </c>
      <c r="H264" s="4" t="s">
        <v>131</v>
      </c>
      <c r="I264" s="4"/>
      <c r="J264" s="4"/>
      <c r="K264" s="4">
        <v>210</v>
      </c>
      <c r="L264" s="4">
        <v>21</v>
      </c>
      <c r="M264" s="4">
        <v>3</v>
      </c>
      <c r="N264" s="4" t="s">
        <v>3</v>
      </c>
      <c r="O264" s="4">
        <v>2</v>
      </c>
      <c r="P264" s="4"/>
    </row>
    <row r="265" spans="1:118" x14ac:dyDescent="0.2">
      <c r="A265" s="4">
        <v>50</v>
      </c>
      <c r="B265" s="4">
        <v>0</v>
      </c>
      <c r="C265" s="4">
        <v>0</v>
      </c>
      <c r="D265" s="4">
        <v>1</v>
      </c>
      <c r="E265" s="4">
        <v>211</v>
      </c>
      <c r="F265" s="4">
        <f>ROUND(Source!Y242,O265)</f>
        <v>147306.81</v>
      </c>
      <c r="G265" s="4" t="s">
        <v>132</v>
      </c>
      <c r="H265" s="4" t="s">
        <v>133</v>
      </c>
      <c r="I265" s="4"/>
      <c r="J265" s="4"/>
      <c r="K265" s="4">
        <v>211</v>
      </c>
      <c r="L265" s="4">
        <v>22</v>
      </c>
      <c r="M265" s="4">
        <v>3</v>
      </c>
      <c r="N265" s="4" t="s">
        <v>3</v>
      </c>
      <c r="O265" s="4">
        <v>2</v>
      </c>
      <c r="P265" s="4"/>
    </row>
    <row r="266" spans="1:118" x14ac:dyDescent="0.2">
      <c r="A266" s="4">
        <v>50</v>
      </c>
      <c r="B266" s="4">
        <v>0</v>
      </c>
      <c r="C266" s="4">
        <v>0</v>
      </c>
      <c r="D266" s="4">
        <v>1</v>
      </c>
      <c r="E266" s="4">
        <v>224</v>
      </c>
      <c r="F266" s="4">
        <f>ROUND(Source!AR242,O266)</f>
        <v>11444571.529999999</v>
      </c>
      <c r="G266" s="4" t="s">
        <v>134</v>
      </c>
      <c r="H266" s="4" t="s">
        <v>135</v>
      </c>
      <c r="I266" s="4"/>
      <c r="J266" s="4"/>
      <c r="K266" s="4">
        <v>224</v>
      </c>
      <c r="L266" s="4">
        <v>23</v>
      </c>
      <c r="M266" s="4">
        <v>3</v>
      </c>
      <c r="N266" s="4" t="s">
        <v>3</v>
      </c>
      <c r="O266" s="4">
        <v>2</v>
      </c>
      <c r="P266" s="4"/>
    </row>
    <row r="268" spans="1:118" x14ac:dyDescent="0.2">
      <c r="A268" s="2">
        <v>51</v>
      </c>
      <c r="B268" s="2">
        <f>B12</f>
        <v>297</v>
      </c>
      <c r="C268" s="2">
        <f>A12</f>
        <v>1</v>
      </c>
      <c r="D268" s="2">
        <f>ROW(A12)</f>
        <v>12</v>
      </c>
      <c r="E268" s="2"/>
      <c r="F268" s="2" t="str">
        <f>IF(F12&lt;&gt;"",F12,"")</f>
        <v>Новый объект</v>
      </c>
      <c r="G268" s="2" t="str">
        <f>IF(G12&lt;&gt;"",G12,"")</f>
        <v>Подмосковная ул., вл. 16</v>
      </c>
      <c r="H268" s="2"/>
      <c r="I268" s="2"/>
      <c r="J268" s="2"/>
      <c r="K268" s="2"/>
      <c r="L268" s="2"/>
      <c r="M268" s="2"/>
      <c r="N268" s="2"/>
      <c r="O268" s="2">
        <f t="shared" ref="O268:T268" si="222">ROUND(O242,2)</f>
        <v>10919730.689999999</v>
      </c>
      <c r="P268" s="2">
        <f t="shared" si="222"/>
        <v>4659901.8499999996</v>
      </c>
      <c r="Q268" s="2">
        <f t="shared" si="222"/>
        <v>2399701.85</v>
      </c>
      <c r="R268" s="2">
        <f t="shared" si="222"/>
        <v>44198.29</v>
      </c>
      <c r="S268" s="2">
        <f t="shared" si="222"/>
        <v>3860126.99</v>
      </c>
      <c r="T268" s="2">
        <f t="shared" si="222"/>
        <v>0</v>
      </c>
      <c r="U268" s="2">
        <f>U242</f>
        <v>1141.0497640173919</v>
      </c>
      <c r="V268" s="2">
        <f>V242</f>
        <v>0</v>
      </c>
      <c r="W268" s="2">
        <f>ROUND(W242,2)</f>
        <v>915.4</v>
      </c>
      <c r="X268" s="2">
        <f>ROUND(X242,2)</f>
        <v>303722.88</v>
      </c>
      <c r="Y268" s="2">
        <f>ROUND(Y242,2)</f>
        <v>147306.81</v>
      </c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>
        <f t="shared" ref="AO268:AZ268" si="223">ROUND(AO242,2)</f>
        <v>0</v>
      </c>
      <c r="AP268" s="2">
        <f t="shared" si="223"/>
        <v>94388.08</v>
      </c>
      <c r="AQ268" s="2">
        <f t="shared" si="223"/>
        <v>0</v>
      </c>
      <c r="AR268" s="2">
        <f t="shared" si="223"/>
        <v>11444571.529999999</v>
      </c>
      <c r="AS268" s="2">
        <f t="shared" si="223"/>
        <v>10524714.25</v>
      </c>
      <c r="AT268" s="2">
        <f t="shared" si="223"/>
        <v>0</v>
      </c>
      <c r="AU268" s="2">
        <f t="shared" si="223"/>
        <v>825469.2</v>
      </c>
      <c r="AV268" s="2">
        <f t="shared" si="223"/>
        <v>4659901.8499999996</v>
      </c>
      <c r="AW268" s="2">
        <f t="shared" si="223"/>
        <v>4565513.7699999996</v>
      </c>
      <c r="AX268" s="2">
        <f t="shared" si="223"/>
        <v>0</v>
      </c>
      <c r="AY268" s="2">
        <f t="shared" si="223"/>
        <v>4565513.7699999996</v>
      </c>
      <c r="AZ268" s="2">
        <f t="shared" si="223"/>
        <v>94388.08</v>
      </c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3"/>
      <c r="BP268" s="3"/>
      <c r="BQ268" s="3"/>
      <c r="BR268" s="3"/>
      <c r="BS268" s="3"/>
      <c r="BT268" s="3"/>
      <c r="BU268" s="3"/>
      <c r="BV268" s="3"/>
      <c r="BW268" s="3"/>
      <c r="BX268" s="3"/>
      <c r="BY268" s="3"/>
      <c r="BZ268" s="3"/>
      <c r="CA268" s="3"/>
      <c r="CB268" s="3"/>
      <c r="CC268" s="3"/>
      <c r="CD268" s="3"/>
      <c r="CE268" s="3"/>
      <c r="CF268" s="3"/>
      <c r="CG268" s="3"/>
      <c r="CH268" s="3"/>
      <c r="CI268" s="3"/>
      <c r="CJ268" s="3"/>
      <c r="CK268" s="3"/>
      <c r="CL268" s="3"/>
      <c r="CM268" s="3"/>
      <c r="CN268" s="3"/>
      <c r="CO268" s="3"/>
      <c r="CP268" s="3"/>
      <c r="CQ268" s="3"/>
      <c r="CR268" s="3"/>
      <c r="CS268" s="3"/>
      <c r="CT268" s="3"/>
      <c r="CU268" s="3"/>
      <c r="CV268" s="3"/>
      <c r="CW268" s="3"/>
      <c r="CX268" s="3"/>
      <c r="CY268" s="3"/>
      <c r="CZ268" s="3"/>
      <c r="DA268" s="3"/>
      <c r="DB268" s="3"/>
      <c r="DC268" s="3"/>
      <c r="DD268" s="3"/>
      <c r="DE268" s="3"/>
      <c r="DF268" s="3"/>
      <c r="DG268" s="3"/>
      <c r="DH268" s="3"/>
      <c r="DI268" s="3"/>
      <c r="DJ268" s="3"/>
      <c r="DK268" s="3"/>
      <c r="DL268" s="3"/>
      <c r="DM268" s="3"/>
      <c r="DN268" s="3">
        <v>0</v>
      </c>
    </row>
    <row r="270" spans="1:118" x14ac:dyDescent="0.2">
      <c r="A270" s="4">
        <v>50</v>
      </c>
      <c r="B270" s="4">
        <v>0</v>
      </c>
      <c r="C270" s="4">
        <v>0</v>
      </c>
      <c r="D270" s="4">
        <v>1</v>
      </c>
      <c r="E270" s="4">
        <v>201</v>
      </c>
      <c r="F270" s="4">
        <f>ROUND(Source!O268,O270)</f>
        <v>10919730.689999999</v>
      </c>
      <c r="G270" s="4" t="s">
        <v>90</v>
      </c>
      <c r="H270" s="4" t="s">
        <v>91</v>
      </c>
      <c r="I270" s="4"/>
      <c r="J270" s="4"/>
      <c r="K270" s="4">
        <v>201</v>
      </c>
      <c r="L270" s="4">
        <v>1</v>
      </c>
      <c r="M270" s="4">
        <v>3</v>
      </c>
      <c r="N270" s="4" t="s">
        <v>3</v>
      </c>
      <c r="O270" s="4">
        <v>2</v>
      </c>
      <c r="P270" s="4"/>
    </row>
    <row r="271" spans="1:118" x14ac:dyDescent="0.2">
      <c r="A271" s="4">
        <v>50</v>
      </c>
      <c r="B271" s="4">
        <v>0</v>
      </c>
      <c r="C271" s="4">
        <v>0</v>
      </c>
      <c r="D271" s="4">
        <v>1</v>
      </c>
      <c r="E271" s="4">
        <v>202</v>
      </c>
      <c r="F271" s="4">
        <f>ROUND(Source!P268,O271)</f>
        <v>4659901.8499999996</v>
      </c>
      <c r="G271" s="4" t="s">
        <v>92</v>
      </c>
      <c r="H271" s="4" t="s">
        <v>93</v>
      </c>
      <c r="I271" s="4"/>
      <c r="J271" s="4"/>
      <c r="K271" s="4">
        <v>202</v>
      </c>
      <c r="L271" s="4">
        <v>2</v>
      </c>
      <c r="M271" s="4">
        <v>3</v>
      </c>
      <c r="N271" s="4" t="s">
        <v>3</v>
      </c>
      <c r="O271" s="4">
        <v>2</v>
      </c>
      <c r="P271" s="4"/>
    </row>
    <row r="272" spans="1:118" x14ac:dyDescent="0.2">
      <c r="A272" s="4">
        <v>50</v>
      </c>
      <c r="B272" s="4">
        <v>0</v>
      </c>
      <c r="C272" s="4">
        <v>0</v>
      </c>
      <c r="D272" s="4">
        <v>1</v>
      </c>
      <c r="E272" s="4">
        <v>222</v>
      </c>
      <c r="F272" s="4">
        <f>ROUND(Source!AO268,O272)</f>
        <v>0</v>
      </c>
      <c r="G272" s="4" t="s">
        <v>94</v>
      </c>
      <c r="H272" s="4" t="s">
        <v>95</v>
      </c>
      <c r="I272" s="4"/>
      <c r="J272" s="4"/>
      <c r="K272" s="4">
        <v>222</v>
      </c>
      <c r="L272" s="4">
        <v>3</v>
      </c>
      <c r="M272" s="4">
        <v>3</v>
      </c>
      <c r="N272" s="4" t="s">
        <v>3</v>
      </c>
      <c r="O272" s="4">
        <v>2</v>
      </c>
      <c r="P272" s="4"/>
    </row>
    <row r="273" spans="1:16" x14ac:dyDescent="0.2">
      <c r="A273" s="4">
        <v>50</v>
      </c>
      <c r="B273" s="4">
        <v>0</v>
      </c>
      <c r="C273" s="4">
        <v>0</v>
      </c>
      <c r="D273" s="4">
        <v>1</v>
      </c>
      <c r="E273" s="4">
        <v>225</v>
      </c>
      <c r="F273" s="4">
        <f>ROUND(Source!AV268,O273)</f>
        <v>4659901.8499999996</v>
      </c>
      <c r="G273" s="4" t="s">
        <v>96</v>
      </c>
      <c r="H273" s="4" t="s">
        <v>97</v>
      </c>
      <c r="I273" s="4"/>
      <c r="J273" s="4"/>
      <c r="K273" s="4">
        <v>225</v>
      </c>
      <c r="L273" s="4">
        <v>4</v>
      </c>
      <c r="M273" s="4">
        <v>3</v>
      </c>
      <c r="N273" s="4" t="s">
        <v>3</v>
      </c>
      <c r="O273" s="4">
        <v>2</v>
      </c>
      <c r="P273" s="4"/>
    </row>
    <row r="274" spans="1:16" x14ac:dyDescent="0.2">
      <c r="A274" s="4">
        <v>50</v>
      </c>
      <c r="B274" s="4">
        <v>0</v>
      </c>
      <c r="C274" s="4">
        <v>0</v>
      </c>
      <c r="D274" s="4">
        <v>1</v>
      </c>
      <c r="E274" s="4">
        <v>226</v>
      </c>
      <c r="F274" s="4">
        <f>ROUND(Source!AW268,O274)</f>
        <v>4565513.7699999996</v>
      </c>
      <c r="G274" s="4" t="s">
        <v>98</v>
      </c>
      <c r="H274" s="4" t="s">
        <v>99</v>
      </c>
      <c r="I274" s="4"/>
      <c r="J274" s="4"/>
      <c r="K274" s="4">
        <v>226</v>
      </c>
      <c r="L274" s="4">
        <v>5</v>
      </c>
      <c r="M274" s="4">
        <v>3</v>
      </c>
      <c r="N274" s="4" t="s">
        <v>3</v>
      </c>
      <c r="O274" s="4">
        <v>2</v>
      </c>
      <c r="P274" s="4"/>
    </row>
    <row r="275" spans="1:16" x14ac:dyDescent="0.2">
      <c r="A275" s="4">
        <v>50</v>
      </c>
      <c r="B275" s="4">
        <v>0</v>
      </c>
      <c r="C275" s="4">
        <v>0</v>
      </c>
      <c r="D275" s="4">
        <v>1</v>
      </c>
      <c r="E275" s="4">
        <v>227</v>
      </c>
      <c r="F275" s="4">
        <f>ROUND(Source!AX268,O275)</f>
        <v>0</v>
      </c>
      <c r="G275" s="4" t="s">
        <v>100</v>
      </c>
      <c r="H275" s="4" t="s">
        <v>101</v>
      </c>
      <c r="I275" s="4"/>
      <c r="J275" s="4"/>
      <c r="K275" s="4">
        <v>227</v>
      </c>
      <c r="L275" s="4">
        <v>6</v>
      </c>
      <c r="M275" s="4">
        <v>3</v>
      </c>
      <c r="N275" s="4" t="s">
        <v>3</v>
      </c>
      <c r="O275" s="4">
        <v>2</v>
      </c>
      <c r="P275" s="4"/>
    </row>
    <row r="276" spans="1:16" x14ac:dyDescent="0.2">
      <c r="A276" s="4">
        <v>50</v>
      </c>
      <c r="B276" s="4">
        <v>0</v>
      </c>
      <c r="C276" s="4">
        <v>0</v>
      </c>
      <c r="D276" s="4">
        <v>1</v>
      </c>
      <c r="E276" s="4">
        <v>228</v>
      </c>
      <c r="F276" s="4">
        <f>ROUND(Source!AY268,O276)</f>
        <v>4565513.7699999996</v>
      </c>
      <c r="G276" s="4" t="s">
        <v>102</v>
      </c>
      <c r="H276" s="4" t="s">
        <v>103</v>
      </c>
      <c r="I276" s="4"/>
      <c r="J276" s="4"/>
      <c r="K276" s="4">
        <v>228</v>
      </c>
      <c r="L276" s="4">
        <v>7</v>
      </c>
      <c r="M276" s="4">
        <v>3</v>
      </c>
      <c r="N276" s="4" t="s">
        <v>3</v>
      </c>
      <c r="O276" s="4">
        <v>2</v>
      </c>
      <c r="P276" s="4"/>
    </row>
    <row r="277" spans="1:16" x14ac:dyDescent="0.2">
      <c r="A277" s="4">
        <v>50</v>
      </c>
      <c r="B277" s="4">
        <v>0</v>
      </c>
      <c r="C277" s="4">
        <v>0</v>
      </c>
      <c r="D277" s="4">
        <v>1</v>
      </c>
      <c r="E277" s="4">
        <v>216</v>
      </c>
      <c r="F277" s="4">
        <f>ROUND(Source!AP268,O277)</f>
        <v>94388.08</v>
      </c>
      <c r="G277" s="4" t="s">
        <v>104</v>
      </c>
      <c r="H277" s="4" t="s">
        <v>105</v>
      </c>
      <c r="I277" s="4"/>
      <c r="J277" s="4"/>
      <c r="K277" s="4">
        <v>216</v>
      </c>
      <c r="L277" s="4">
        <v>8</v>
      </c>
      <c r="M277" s="4">
        <v>3</v>
      </c>
      <c r="N277" s="4" t="s">
        <v>3</v>
      </c>
      <c r="O277" s="4">
        <v>2</v>
      </c>
      <c r="P277" s="4"/>
    </row>
    <row r="278" spans="1:16" x14ac:dyDescent="0.2">
      <c r="A278" s="4">
        <v>50</v>
      </c>
      <c r="B278" s="4">
        <v>0</v>
      </c>
      <c r="C278" s="4">
        <v>0</v>
      </c>
      <c r="D278" s="4">
        <v>1</v>
      </c>
      <c r="E278" s="4">
        <v>223</v>
      </c>
      <c r="F278" s="4">
        <f>ROUND(Source!AQ268,O278)</f>
        <v>0</v>
      </c>
      <c r="G278" s="4" t="s">
        <v>106</v>
      </c>
      <c r="H278" s="4" t="s">
        <v>107</v>
      </c>
      <c r="I278" s="4"/>
      <c r="J278" s="4"/>
      <c r="K278" s="4">
        <v>223</v>
      </c>
      <c r="L278" s="4">
        <v>9</v>
      </c>
      <c r="M278" s="4">
        <v>3</v>
      </c>
      <c r="N278" s="4" t="s">
        <v>3</v>
      </c>
      <c r="O278" s="4">
        <v>2</v>
      </c>
      <c r="P278" s="4"/>
    </row>
    <row r="279" spans="1:16" x14ac:dyDescent="0.2">
      <c r="A279" s="4">
        <v>50</v>
      </c>
      <c r="B279" s="4">
        <v>0</v>
      </c>
      <c r="C279" s="4">
        <v>0</v>
      </c>
      <c r="D279" s="4">
        <v>1</v>
      </c>
      <c r="E279" s="4">
        <v>229</v>
      </c>
      <c r="F279" s="4">
        <f>ROUND(Source!AZ268,O279)</f>
        <v>94388.08</v>
      </c>
      <c r="G279" s="4" t="s">
        <v>108</v>
      </c>
      <c r="H279" s="4" t="s">
        <v>109</v>
      </c>
      <c r="I279" s="4"/>
      <c r="J279" s="4"/>
      <c r="K279" s="4">
        <v>229</v>
      </c>
      <c r="L279" s="4">
        <v>10</v>
      </c>
      <c r="M279" s="4">
        <v>3</v>
      </c>
      <c r="N279" s="4" t="s">
        <v>3</v>
      </c>
      <c r="O279" s="4">
        <v>2</v>
      </c>
      <c r="P279" s="4"/>
    </row>
    <row r="280" spans="1:16" x14ac:dyDescent="0.2">
      <c r="A280" s="4">
        <v>50</v>
      </c>
      <c r="B280" s="4">
        <v>0</v>
      </c>
      <c r="C280" s="4">
        <v>0</v>
      </c>
      <c r="D280" s="4">
        <v>1</v>
      </c>
      <c r="E280" s="4">
        <v>203</v>
      </c>
      <c r="F280" s="4">
        <f>ROUND(Source!Q268,O280)</f>
        <v>2399701.85</v>
      </c>
      <c r="G280" s="4" t="s">
        <v>110</v>
      </c>
      <c r="H280" s="4" t="s">
        <v>111</v>
      </c>
      <c r="I280" s="4"/>
      <c r="J280" s="4"/>
      <c r="K280" s="4">
        <v>203</v>
      </c>
      <c r="L280" s="4">
        <v>11</v>
      </c>
      <c r="M280" s="4">
        <v>3</v>
      </c>
      <c r="N280" s="4" t="s">
        <v>3</v>
      </c>
      <c r="O280" s="4">
        <v>2</v>
      </c>
      <c r="P280" s="4"/>
    </row>
    <row r="281" spans="1:16" x14ac:dyDescent="0.2">
      <c r="A281" s="4">
        <v>50</v>
      </c>
      <c r="B281" s="4">
        <v>0</v>
      </c>
      <c r="C281" s="4">
        <v>0</v>
      </c>
      <c r="D281" s="4">
        <v>1</v>
      </c>
      <c r="E281" s="4">
        <v>204</v>
      </c>
      <c r="F281" s="4">
        <f>ROUND(Source!R268,O281)</f>
        <v>44198.29</v>
      </c>
      <c r="G281" s="4" t="s">
        <v>112</v>
      </c>
      <c r="H281" s="4" t="s">
        <v>113</v>
      </c>
      <c r="I281" s="4"/>
      <c r="J281" s="4"/>
      <c r="K281" s="4">
        <v>204</v>
      </c>
      <c r="L281" s="4">
        <v>12</v>
      </c>
      <c r="M281" s="4">
        <v>3</v>
      </c>
      <c r="N281" s="4" t="s">
        <v>3</v>
      </c>
      <c r="O281" s="4">
        <v>2</v>
      </c>
      <c r="P281" s="4"/>
    </row>
    <row r="282" spans="1:16" x14ac:dyDescent="0.2">
      <c r="A282" s="4">
        <v>50</v>
      </c>
      <c r="B282" s="4">
        <v>0</v>
      </c>
      <c r="C282" s="4">
        <v>0</v>
      </c>
      <c r="D282" s="4">
        <v>1</v>
      </c>
      <c r="E282" s="4">
        <v>205</v>
      </c>
      <c r="F282" s="4">
        <f>ROUND(Source!S268,O282)</f>
        <v>3860126.99</v>
      </c>
      <c r="G282" s="4" t="s">
        <v>114</v>
      </c>
      <c r="H282" s="4" t="s">
        <v>115</v>
      </c>
      <c r="I282" s="4"/>
      <c r="J282" s="4"/>
      <c r="K282" s="4">
        <v>205</v>
      </c>
      <c r="L282" s="4">
        <v>13</v>
      </c>
      <c r="M282" s="4">
        <v>3</v>
      </c>
      <c r="N282" s="4" t="s">
        <v>3</v>
      </c>
      <c r="O282" s="4">
        <v>2</v>
      </c>
      <c r="P282" s="4"/>
    </row>
    <row r="283" spans="1:16" x14ac:dyDescent="0.2">
      <c r="A283" s="4">
        <v>50</v>
      </c>
      <c r="B283" s="4">
        <v>0</v>
      </c>
      <c r="C283" s="4">
        <v>0</v>
      </c>
      <c r="D283" s="4">
        <v>1</v>
      </c>
      <c r="E283" s="4">
        <v>214</v>
      </c>
      <c r="F283" s="4">
        <f>ROUND(Source!AS268,O283)</f>
        <v>10524714.25</v>
      </c>
      <c r="G283" s="4" t="s">
        <v>116</v>
      </c>
      <c r="H283" s="4" t="s">
        <v>117</v>
      </c>
      <c r="I283" s="4"/>
      <c r="J283" s="4"/>
      <c r="K283" s="4">
        <v>214</v>
      </c>
      <c r="L283" s="4">
        <v>14</v>
      </c>
      <c r="M283" s="4">
        <v>3</v>
      </c>
      <c r="N283" s="4" t="s">
        <v>3</v>
      </c>
      <c r="O283" s="4">
        <v>2</v>
      </c>
      <c r="P283" s="4"/>
    </row>
    <row r="284" spans="1:16" x14ac:dyDescent="0.2">
      <c r="A284" s="4">
        <v>50</v>
      </c>
      <c r="B284" s="4">
        <v>0</v>
      </c>
      <c r="C284" s="4">
        <v>0</v>
      </c>
      <c r="D284" s="4">
        <v>1</v>
      </c>
      <c r="E284" s="4">
        <v>215</v>
      </c>
      <c r="F284" s="4">
        <f>ROUND(Source!AT268,O284)</f>
        <v>0</v>
      </c>
      <c r="G284" s="4" t="s">
        <v>118</v>
      </c>
      <c r="H284" s="4" t="s">
        <v>119</v>
      </c>
      <c r="I284" s="4"/>
      <c r="J284" s="4"/>
      <c r="K284" s="4">
        <v>215</v>
      </c>
      <c r="L284" s="4">
        <v>15</v>
      </c>
      <c r="M284" s="4">
        <v>3</v>
      </c>
      <c r="N284" s="4" t="s">
        <v>3</v>
      </c>
      <c r="O284" s="4">
        <v>2</v>
      </c>
      <c r="P284" s="4"/>
    </row>
    <row r="285" spans="1:16" x14ac:dyDescent="0.2">
      <c r="A285" s="4">
        <v>50</v>
      </c>
      <c r="B285" s="4">
        <v>0</v>
      </c>
      <c r="C285" s="4">
        <v>0</v>
      </c>
      <c r="D285" s="4">
        <v>1</v>
      </c>
      <c r="E285" s="4">
        <v>217</v>
      </c>
      <c r="F285" s="4">
        <f>ROUND(Source!AU268,O285)</f>
        <v>825469.2</v>
      </c>
      <c r="G285" s="4" t="s">
        <v>120</v>
      </c>
      <c r="H285" s="4" t="s">
        <v>121</v>
      </c>
      <c r="I285" s="4"/>
      <c r="J285" s="4"/>
      <c r="K285" s="4">
        <v>217</v>
      </c>
      <c r="L285" s="4">
        <v>16</v>
      </c>
      <c r="M285" s="4">
        <v>3</v>
      </c>
      <c r="N285" s="4" t="s">
        <v>3</v>
      </c>
      <c r="O285" s="4">
        <v>2</v>
      </c>
      <c r="P285" s="4"/>
    </row>
    <row r="286" spans="1:16" x14ac:dyDescent="0.2">
      <c r="A286" s="4">
        <v>50</v>
      </c>
      <c r="B286" s="4">
        <v>0</v>
      </c>
      <c r="C286" s="4">
        <v>0</v>
      </c>
      <c r="D286" s="4">
        <v>1</v>
      </c>
      <c r="E286" s="4">
        <v>206</v>
      </c>
      <c r="F286" s="4">
        <f>ROUND(Source!T268,O286)</f>
        <v>0</v>
      </c>
      <c r="G286" s="4" t="s">
        <v>122</v>
      </c>
      <c r="H286" s="4" t="s">
        <v>123</v>
      </c>
      <c r="I286" s="4"/>
      <c r="J286" s="4"/>
      <c r="K286" s="4">
        <v>206</v>
      </c>
      <c r="L286" s="4">
        <v>17</v>
      </c>
      <c r="M286" s="4">
        <v>3</v>
      </c>
      <c r="N286" s="4" t="s">
        <v>3</v>
      </c>
      <c r="O286" s="4">
        <v>2</v>
      </c>
      <c r="P286" s="4"/>
    </row>
    <row r="287" spans="1:16" x14ac:dyDescent="0.2">
      <c r="A287" s="4">
        <v>50</v>
      </c>
      <c r="B287" s="4">
        <v>0</v>
      </c>
      <c r="C287" s="4">
        <v>0</v>
      </c>
      <c r="D287" s="4">
        <v>1</v>
      </c>
      <c r="E287" s="4">
        <v>207</v>
      </c>
      <c r="F287" s="4">
        <f>Source!U268</f>
        <v>1141.0497640173919</v>
      </c>
      <c r="G287" s="4" t="s">
        <v>124</v>
      </c>
      <c r="H287" s="4" t="s">
        <v>125</v>
      </c>
      <c r="I287" s="4"/>
      <c r="J287" s="4"/>
      <c r="K287" s="4">
        <v>207</v>
      </c>
      <c r="L287" s="4">
        <v>18</v>
      </c>
      <c r="M287" s="4">
        <v>3</v>
      </c>
      <c r="N287" s="4" t="s">
        <v>3</v>
      </c>
      <c r="O287" s="4">
        <v>-1</v>
      </c>
      <c r="P287" s="4"/>
    </row>
    <row r="288" spans="1:16" x14ac:dyDescent="0.2">
      <c r="A288" s="4">
        <v>50</v>
      </c>
      <c r="B288" s="4">
        <v>0</v>
      </c>
      <c r="C288" s="4">
        <v>0</v>
      </c>
      <c r="D288" s="4">
        <v>1</v>
      </c>
      <c r="E288" s="4">
        <v>208</v>
      </c>
      <c r="F288" s="4">
        <f>Source!V268</f>
        <v>0</v>
      </c>
      <c r="G288" s="4" t="s">
        <v>126</v>
      </c>
      <c r="H288" s="4" t="s">
        <v>127</v>
      </c>
      <c r="I288" s="4"/>
      <c r="J288" s="4"/>
      <c r="K288" s="4">
        <v>208</v>
      </c>
      <c r="L288" s="4">
        <v>19</v>
      </c>
      <c r="M288" s="4">
        <v>3</v>
      </c>
      <c r="N288" s="4" t="s">
        <v>3</v>
      </c>
      <c r="O288" s="4">
        <v>-1</v>
      </c>
      <c r="P288" s="4"/>
    </row>
    <row r="289" spans="1:26" x14ac:dyDescent="0.2">
      <c r="A289" s="4">
        <v>50</v>
      </c>
      <c r="B289" s="4">
        <v>0</v>
      </c>
      <c r="C289" s="4">
        <v>0</v>
      </c>
      <c r="D289" s="4">
        <v>1</v>
      </c>
      <c r="E289" s="4">
        <v>209</v>
      </c>
      <c r="F289" s="4">
        <f>ROUND(Source!W268,O289)</f>
        <v>915.4</v>
      </c>
      <c r="G289" s="4" t="s">
        <v>128</v>
      </c>
      <c r="H289" s="4" t="s">
        <v>129</v>
      </c>
      <c r="I289" s="4"/>
      <c r="J289" s="4"/>
      <c r="K289" s="4">
        <v>209</v>
      </c>
      <c r="L289" s="4">
        <v>20</v>
      </c>
      <c r="M289" s="4">
        <v>3</v>
      </c>
      <c r="N289" s="4" t="s">
        <v>3</v>
      </c>
      <c r="O289" s="4">
        <v>2</v>
      </c>
      <c r="P289" s="4"/>
    </row>
    <row r="290" spans="1:26" x14ac:dyDescent="0.2">
      <c r="A290" s="4">
        <v>50</v>
      </c>
      <c r="B290" s="4">
        <v>0</v>
      </c>
      <c r="C290" s="4">
        <v>0</v>
      </c>
      <c r="D290" s="4">
        <v>1</v>
      </c>
      <c r="E290" s="4">
        <v>210</v>
      </c>
      <c r="F290" s="4">
        <f>ROUND(Source!X268,O290)</f>
        <v>303722.88</v>
      </c>
      <c r="G290" s="4" t="s">
        <v>130</v>
      </c>
      <c r="H290" s="4" t="s">
        <v>131</v>
      </c>
      <c r="I290" s="4"/>
      <c r="J290" s="4"/>
      <c r="K290" s="4">
        <v>210</v>
      </c>
      <c r="L290" s="4">
        <v>21</v>
      </c>
      <c r="M290" s="4">
        <v>3</v>
      </c>
      <c r="N290" s="4" t="s">
        <v>3</v>
      </c>
      <c r="O290" s="4">
        <v>2</v>
      </c>
      <c r="P290" s="4"/>
    </row>
    <row r="291" spans="1:26" x14ac:dyDescent="0.2">
      <c r="A291" s="4">
        <v>50</v>
      </c>
      <c r="B291" s="4">
        <v>0</v>
      </c>
      <c r="C291" s="4">
        <v>0</v>
      </c>
      <c r="D291" s="4">
        <v>1</v>
      </c>
      <c r="E291" s="4">
        <v>211</v>
      </c>
      <c r="F291" s="4">
        <f>ROUND(Source!Y268,O291)</f>
        <v>147306.81</v>
      </c>
      <c r="G291" s="4" t="s">
        <v>132</v>
      </c>
      <c r="H291" s="4" t="s">
        <v>133</v>
      </c>
      <c r="I291" s="4"/>
      <c r="J291" s="4"/>
      <c r="K291" s="4">
        <v>211</v>
      </c>
      <c r="L291" s="4">
        <v>22</v>
      </c>
      <c r="M291" s="4">
        <v>3</v>
      </c>
      <c r="N291" s="4" t="s">
        <v>3</v>
      </c>
      <c r="O291" s="4">
        <v>2</v>
      </c>
      <c r="P291" s="4"/>
    </row>
    <row r="292" spans="1:26" x14ac:dyDescent="0.2">
      <c r="A292" s="4">
        <v>50</v>
      </c>
      <c r="B292" s="4">
        <v>0</v>
      </c>
      <c r="C292" s="4">
        <v>0</v>
      </c>
      <c r="D292" s="4">
        <v>1</v>
      </c>
      <c r="E292" s="4">
        <v>224</v>
      </c>
      <c r="F292" s="4">
        <f>ROUND(Source!AR268,O292)</f>
        <v>11444571.529999999</v>
      </c>
      <c r="G292" s="4" t="s">
        <v>134</v>
      </c>
      <c r="H292" s="4" t="s">
        <v>135</v>
      </c>
      <c r="I292" s="4"/>
      <c r="J292" s="4"/>
      <c r="K292" s="4">
        <v>224</v>
      </c>
      <c r="L292" s="4">
        <v>23</v>
      </c>
      <c r="M292" s="4">
        <v>3</v>
      </c>
      <c r="N292" s="4" t="s">
        <v>3</v>
      </c>
      <c r="O292" s="4">
        <v>2</v>
      </c>
      <c r="P292" s="4"/>
    </row>
    <row r="295" spans="1:26" x14ac:dyDescent="0.2">
      <c r="A295">
        <v>-1</v>
      </c>
    </row>
    <row r="297" spans="1:26" x14ac:dyDescent="0.2">
      <c r="A297" s="3">
        <v>75</v>
      </c>
      <c r="B297" s="3" t="s">
        <v>272</v>
      </c>
      <c r="C297" s="3">
        <v>2016</v>
      </c>
      <c r="D297" s="3">
        <v>0</v>
      </c>
      <c r="E297" s="3">
        <v>10</v>
      </c>
      <c r="F297" s="3">
        <v>0</v>
      </c>
      <c r="G297" s="3">
        <v>0</v>
      </c>
      <c r="H297" s="3">
        <v>2</v>
      </c>
      <c r="I297" s="3">
        <v>1</v>
      </c>
      <c r="J297" s="3">
        <v>1</v>
      </c>
      <c r="K297" s="3">
        <v>98</v>
      </c>
      <c r="L297" s="3">
        <v>69</v>
      </c>
      <c r="M297" s="3">
        <v>0</v>
      </c>
      <c r="N297" s="3">
        <v>90163004</v>
      </c>
      <c r="O297" s="3">
        <v>1</v>
      </c>
    </row>
    <row r="298" spans="1:26" x14ac:dyDescent="0.2">
      <c r="A298" s="5">
        <v>1</v>
      </c>
      <c r="B298" s="5" t="s">
        <v>273</v>
      </c>
      <c r="C298" s="5" t="s">
        <v>274</v>
      </c>
      <c r="D298" s="5">
        <v>2016</v>
      </c>
      <c r="E298" s="5">
        <v>10</v>
      </c>
      <c r="F298" s="5">
        <v>1</v>
      </c>
      <c r="G298" s="5">
        <v>1</v>
      </c>
      <c r="H298" s="5">
        <v>0</v>
      </c>
      <c r="I298" s="5">
        <v>2</v>
      </c>
      <c r="J298" s="5">
        <v>1</v>
      </c>
      <c r="K298" s="5">
        <v>1</v>
      </c>
      <c r="L298" s="5">
        <v>1</v>
      </c>
      <c r="M298" s="5">
        <v>1</v>
      </c>
      <c r="N298" s="5">
        <v>1</v>
      </c>
      <c r="O298" s="5">
        <v>1</v>
      </c>
      <c r="P298" s="5">
        <v>1</v>
      </c>
      <c r="Q298" s="5">
        <v>1</v>
      </c>
      <c r="R298" s="5" t="s">
        <v>3</v>
      </c>
      <c r="S298" s="5" t="s">
        <v>3</v>
      </c>
      <c r="T298" s="5" t="s">
        <v>3</v>
      </c>
      <c r="U298" s="5" t="s">
        <v>3</v>
      </c>
      <c r="V298" s="5" t="s">
        <v>3</v>
      </c>
      <c r="W298" s="5" t="s">
        <v>3</v>
      </c>
      <c r="X298" s="5" t="s">
        <v>3</v>
      </c>
      <c r="Y298" s="5" t="s">
        <v>3</v>
      </c>
      <c r="Z298" s="5" t="s">
        <v>3</v>
      </c>
    </row>
    <row r="302" spans="1:26" x14ac:dyDescent="0.2">
      <c r="A302">
        <v>65</v>
      </c>
      <c r="C302">
        <v>1</v>
      </c>
      <c r="D302">
        <v>0</v>
      </c>
      <c r="E302">
        <v>245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C48"/>
  <sheetViews>
    <sheetView workbookViewId="0"/>
  </sheetViews>
  <sheetFormatPr defaultRowHeight="12.75" x14ac:dyDescent="0.2"/>
  <sheetData>
    <row r="1" spans="1:133" x14ac:dyDescent="0.2">
      <c r="A1">
        <v>0</v>
      </c>
      <c r="B1" t="s">
        <v>0</v>
      </c>
      <c r="D1" t="s">
        <v>275</v>
      </c>
      <c r="F1">
        <v>0</v>
      </c>
      <c r="G1">
        <v>0</v>
      </c>
      <c r="H1">
        <v>0</v>
      </c>
      <c r="I1" t="s">
        <v>2</v>
      </c>
      <c r="J1" t="s">
        <v>3</v>
      </c>
      <c r="K1">
        <v>1</v>
      </c>
      <c r="L1">
        <v>48718</v>
      </c>
      <c r="M1">
        <v>21826479</v>
      </c>
    </row>
    <row r="12" spans="1:133" x14ac:dyDescent="0.2">
      <c r="A12" s="1">
        <v>1</v>
      </c>
      <c r="B12" s="1">
        <v>47</v>
      </c>
      <c r="C12" s="1">
        <v>0</v>
      </c>
      <c r="D12" s="1"/>
      <c r="E12" s="1">
        <v>0</v>
      </c>
      <c r="F12" s="1" t="s">
        <v>4</v>
      </c>
      <c r="G12" s="1" t="s">
        <v>5</v>
      </c>
      <c r="H12" s="1" t="s">
        <v>3</v>
      </c>
      <c r="I12" s="1">
        <v>0</v>
      </c>
      <c r="J12" s="1" t="s">
        <v>3</v>
      </c>
      <c r="K12" s="1"/>
      <c r="L12" s="1"/>
      <c r="M12" s="1"/>
      <c r="N12" s="1"/>
      <c r="O12" s="1">
        <v>0</v>
      </c>
      <c r="P12" s="1">
        <v>0</v>
      </c>
      <c r="Q12" s="1">
        <v>2</v>
      </c>
      <c r="R12" s="1">
        <v>167</v>
      </c>
      <c r="S12" s="1"/>
      <c r="T12" s="1"/>
      <c r="U12" s="1" t="s">
        <v>3</v>
      </c>
      <c r="V12" s="1">
        <v>0</v>
      </c>
      <c r="W12" s="1" t="s">
        <v>3</v>
      </c>
      <c r="X12" s="1" t="s">
        <v>3</v>
      </c>
      <c r="Y12" s="1" t="s">
        <v>3</v>
      </c>
      <c r="Z12" s="1" t="s">
        <v>3</v>
      </c>
      <c r="AA12" s="1" t="s">
        <v>3</v>
      </c>
      <c r="AB12" s="1" t="s">
        <v>3</v>
      </c>
      <c r="AC12" s="1" t="s">
        <v>3</v>
      </c>
      <c r="AD12" s="1" t="s">
        <v>3</v>
      </c>
      <c r="AE12" s="1" t="s">
        <v>3</v>
      </c>
      <c r="AF12" s="1" t="s">
        <v>3</v>
      </c>
      <c r="AG12" s="1" t="s">
        <v>3</v>
      </c>
      <c r="AH12" s="1" t="s">
        <v>3</v>
      </c>
      <c r="AI12" s="1" t="s">
        <v>3</v>
      </c>
      <c r="AJ12" s="1" t="s">
        <v>3</v>
      </c>
      <c r="AK12" s="1"/>
      <c r="AL12" s="1" t="s">
        <v>3</v>
      </c>
      <c r="AM12" s="1" t="s">
        <v>3</v>
      </c>
      <c r="AN12" s="1" t="s">
        <v>3</v>
      </c>
      <c r="AO12" s="1"/>
      <c r="AP12" s="1" t="s">
        <v>3</v>
      </c>
      <c r="AQ12" s="1" t="s">
        <v>3</v>
      </c>
      <c r="AR12" s="1" t="s">
        <v>3</v>
      </c>
      <c r="AS12" s="1"/>
      <c r="AT12" s="1"/>
      <c r="AU12" s="1"/>
      <c r="AV12" s="1"/>
      <c r="AW12" s="1"/>
      <c r="AX12" s="1" t="s">
        <v>3</v>
      </c>
      <c r="AY12" s="1" t="s">
        <v>3</v>
      </c>
      <c r="AZ12" s="1" t="s">
        <v>3</v>
      </c>
      <c r="BA12" s="1"/>
      <c r="BB12" s="1"/>
      <c r="BC12" s="1"/>
      <c r="BD12" s="1"/>
      <c r="BE12" s="1"/>
      <c r="BF12" s="1"/>
      <c r="BG12" s="1"/>
      <c r="BH12" s="1" t="s">
        <v>6</v>
      </c>
      <c r="BI12" s="1" t="s">
        <v>7</v>
      </c>
      <c r="BJ12" s="1">
        <v>0</v>
      </c>
      <c r="BK12" s="1">
        <v>1</v>
      </c>
      <c r="BL12" s="1">
        <v>0</v>
      </c>
      <c r="BM12" s="1">
        <v>1</v>
      </c>
      <c r="BN12" s="1">
        <v>1</v>
      </c>
      <c r="BO12" s="1">
        <v>0</v>
      </c>
      <c r="BP12" s="1">
        <v>6</v>
      </c>
      <c r="BQ12" s="1">
        <v>2</v>
      </c>
      <c r="BR12" s="1">
        <v>0</v>
      </c>
      <c r="BS12" s="1">
        <v>0</v>
      </c>
      <c r="BT12" s="1">
        <v>0</v>
      </c>
      <c r="BU12" s="1">
        <v>0</v>
      </c>
      <c r="BV12" s="1">
        <v>1</v>
      </c>
      <c r="BW12" s="1">
        <v>1</v>
      </c>
      <c r="BX12" s="1">
        <v>0</v>
      </c>
      <c r="BY12" s="1" t="s">
        <v>8</v>
      </c>
      <c r="BZ12" s="1" t="s">
        <v>9</v>
      </c>
      <c r="CA12" s="1" t="s">
        <v>10</v>
      </c>
      <c r="CB12" s="1" t="s">
        <v>10</v>
      </c>
      <c r="CC12" s="1" t="s">
        <v>10</v>
      </c>
      <c r="CD12" s="1" t="s">
        <v>10</v>
      </c>
      <c r="CE12" s="1" t="s">
        <v>3</v>
      </c>
      <c r="CF12" s="1">
        <v>0</v>
      </c>
      <c r="CG12" s="1">
        <v>0</v>
      </c>
      <c r="CH12" s="1">
        <v>8200</v>
      </c>
      <c r="CI12" s="1" t="s">
        <v>3</v>
      </c>
      <c r="CJ12" s="1" t="s">
        <v>3</v>
      </c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>
        <v>0</v>
      </c>
    </row>
    <row r="14" spans="1:133" x14ac:dyDescent="0.2">
      <c r="A14" s="1">
        <v>22</v>
      </c>
      <c r="B14" s="1">
        <v>0</v>
      </c>
      <c r="C14" s="1">
        <v>0</v>
      </c>
      <c r="D14" s="1">
        <v>90163004</v>
      </c>
      <c r="E14" s="1">
        <v>0</v>
      </c>
      <c r="F14" s="1">
        <v>3</v>
      </c>
      <c r="G14" s="1"/>
      <c r="H14" s="1"/>
      <c r="I14" s="1"/>
      <c r="J14" s="1"/>
      <c r="K14" s="1"/>
      <c r="L14" s="1"/>
      <c r="M14" s="1"/>
      <c r="N14" s="1"/>
      <c r="O14" s="1"/>
    </row>
    <row r="16" spans="1:133" x14ac:dyDescent="0.2">
      <c r="A16" s="6">
        <v>3</v>
      </c>
      <c r="B16" s="6">
        <v>1</v>
      </c>
      <c r="C16" s="6" t="s">
        <v>11</v>
      </c>
      <c r="D16" s="6" t="s">
        <v>12</v>
      </c>
      <c r="E16" s="7">
        <v>10520.892229999999</v>
      </c>
      <c r="F16" s="7">
        <v>0</v>
      </c>
      <c r="G16" s="7">
        <v>94.388080000000002</v>
      </c>
      <c r="H16" s="7">
        <v>787.04537000000005</v>
      </c>
      <c r="I16" s="7">
        <v>11402.32568</v>
      </c>
      <c r="J16" s="7">
        <v>3860.0364100000002</v>
      </c>
      <c r="AI16" s="6">
        <v>0</v>
      </c>
      <c r="AJ16" s="6">
        <v>-1</v>
      </c>
      <c r="AK16" s="6" t="s">
        <v>3</v>
      </c>
      <c r="AL16" s="6" t="s">
        <v>3</v>
      </c>
      <c r="AM16" s="6" t="s">
        <v>3</v>
      </c>
      <c r="AN16" s="6">
        <v>0</v>
      </c>
      <c r="AO16" s="6" t="s">
        <v>3</v>
      </c>
      <c r="AP16" s="6" t="s">
        <v>3</v>
      </c>
      <c r="AT16" s="7">
        <v>10879128.67</v>
      </c>
      <c r="AU16" s="7">
        <v>4659901.8499999996</v>
      </c>
      <c r="AV16" s="7">
        <v>0</v>
      </c>
      <c r="AW16" s="7">
        <v>94388.08</v>
      </c>
      <c r="AX16" s="7">
        <v>0</v>
      </c>
      <c r="AY16" s="7">
        <v>2359190.41</v>
      </c>
      <c r="AZ16" s="7">
        <v>43295.86</v>
      </c>
      <c r="BA16" s="7">
        <v>3860036.41</v>
      </c>
      <c r="BB16" s="7">
        <v>10520892.23</v>
      </c>
      <c r="BC16" s="7">
        <v>0</v>
      </c>
      <c r="BD16" s="7">
        <v>787045.37</v>
      </c>
      <c r="BE16" s="7">
        <v>0</v>
      </c>
      <c r="BF16" s="7">
        <v>1140.542030663792</v>
      </c>
      <c r="BG16" s="7">
        <v>0</v>
      </c>
      <c r="BH16" s="7">
        <v>915.4</v>
      </c>
      <c r="BI16" s="7">
        <v>303635.02</v>
      </c>
      <c r="BJ16" s="7">
        <v>147257.9</v>
      </c>
      <c r="BK16" s="7">
        <v>11402325.68</v>
      </c>
    </row>
    <row r="18" spans="1:19" x14ac:dyDescent="0.2">
      <c r="A18">
        <v>51</v>
      </c>
      <c r="E18" s="8">
        <v>10520.892229999999</v>
      </c>
      <c r="F18" s="8">
        <v>0</v>
      </c>
      <c r="G18" s="8">
        <v>94.388080000000002</v>
      </c>
      <c r="H18" s="8">
        <v>787.04537000000005</v>
      </c>
      <c r="I18" s="8">
        <v>11402.32568</v>
      </c>
      <c r="J18" s="8">
        <v>3860.0364100000002</v>
      </c>
      <c r="K18" s="8"/>
      <c r="L18" s="8"/>
      <c r="M18" s="8"/>
      <c r="N18" s="8"/>
      <c r="O18" s="8"/>
      <c r="P18" s="8"/>
      <c r="Q18" s="8"/>
      <c r="R18" s="8"/>
      <c r="S18" s="8"/>
    </row>
    <row r="20" spans="1:19" x14ac:dyDescent="0.2">
      <c r="A20" s="4">
        <v>50</v>
      </c>
      <c r="B20" s="4">
        <v>0</v>
      </c>
      <c r="C20" s="4">
        <v>0</v>
      </c>
      <c r="D20" s="4">
        <v>1</v>
      </c>
      <c r="E20" s="4">
        <v>201</v>
      </c>
      <c r="F20" s="4">
        <v>10879128.67</v>
      </c>
      <c r="G20" s="4" t="s">
        <v>90</v>
      </c>
      <c r="H20" s="4" t="s">
        <v>91</v>
      </c>
      <c r="I20" s="4"/>
      <c r="J20" s="4"/>
      <c r="K20" s="4">
        <v>201</v>
      </c>
      <c r="L20" s="4">
        <v>1</v>
      </c>
      <c r="M20" s="4">
        <v>3</v>
      </c>
      <c r="N20" s="4" t="s">
        <v>3</v>
      </c>
      <c r="O20" s="4">
        <v>2</v>
      </c>
      <c r="P20" s="4"/>
    </row>
    <row r="21" spans="1:19" x14ac:dyDescent="0.2">
      <c r="A21" s="4">
        <v>50</v>
      </c>
      <c r="B21" s="4">
        <v>0</v>
      </c>
      <c r="C21" s="4">
        <v>0</v>
      </c>
      <c r="D21" s="4">
        <v>1</v>
      </c>
      <c r="E21" s="4">
        <v>202</v>
      </c>
      <c r="F21" s="4">
        <v>4659901.8499999996</v>
      </c>
      <c r="G21" s="4" t="s">
        <v>92</v>
      </c>
      <c r="H21" s="4" t="s">
        <v>93</v>
      </c>
      <c r="I21" s="4"/>
      <c r="J21" s="4"/>
      <c r="K21" s="4">
        <v>202</v>
      </c>
      <c r="L21" s="4">
        <v>2</v>
      </c>
      <c r="M21" s="4">
        <v>3</v>
      </c>
      <c r="N21" s="4" t="s">
        <v>3</v>
      </c>
      <c r="O21" s="4">
        <v>2</v>
      </c>
      <c r="P21" s="4"/>
    </row>
    <row r="22" spans="1:19" x14ac:dyDescent="0.2">
      <c r="A22" s="4">
        <v>50</v>
      </c>
      <c r="B22" s="4">
        <v>0</v>
      </c>
      <c r="C22" s="4">
        <v>0</v>
      </c>
      <c r="D22" s="4">
        <v>1</v>
      </c>
      <c r="E22" s="4">
        <v>222</v>
      </c>
      <c r="F22" s="4">
        <v>0</v>
      </c>
      <c r="G22" s="4" t="s">
        <v>94</v>
      </c>
      <c r="H22" s="4" t="s">
        <v>95</v>
      </c>
      <c r="I22" s="4"/>
      <c r="J22" s="4"/>
      <c r="K22" s="4">
        <v>222</v>
      </c>
      <c r="L22" s="4">
        <v>3</v>
      </c>
      <c r="M22" s="4">
        <v>3</v>
      </c>
      <c r="N22" s="4" t="s">
        <v>3</v>
      </c>
      <c r="O22" s="4">
        <v>2</v>
      </c>
      <c r="P22" s="4"/>
    </row>
    <row r="23" spans="1:19" x14ac:dyDescent="0.2">
      <c r="A23" s="4">
        <v>50</v>
      </c>
      <c r="B23" s="4">
        <v>0</v>
      </c>
      <c r="C23" s="4">
        <v>0</v>
      </c>
      <c r="D23" s="4">
        <v>1</v>
      </c>
      <c r="E23" s="4">
        <v>225</v>
      </c>
      <c r="F23" s="4">
        <v>4659901.8499999996</v>
      </c>
      <c r="G23" s="4" t="s">
        <v>96</v>
      </c>
      <c r="H23" s="4" t="s">
        <v>97</v>
      </c>
      <c r="I23" s="4"/>
      <c r="J23" s="4"/>
      <c r="K23" s="4">
        <v>225</v>
      </c>
      <c r="L23" s="4">
        <v>4</v>
      </c>
      <c r="M23" s="4">
        <v>3</v>
      </c>
      <c r="N23" s="4" t="s">
        <v>3</v>
      </c>
      <c r="O23" s="4">
        <v>2</v>
      </c>
      <c r="P23" s="4"/>
    </row>
    <row r="24" spans="1:19" x14ac:dyDescent="0.2">
      <c r="A24" s="4">
        <v>50</v>
      </c>
      <c r="B24" s="4">
        <v>0</v>
      </c>
      <c r="C24" s="4">
        <v>0</v>
      </c>
      <c r="D24" s="4">
        <v>1</v>
      </c>
      <c r="E24" s="4">
        <v>226</v>
      </c>
      <c r="F24" s="4">
        <v>4565513.7699999996</v>
      </c>
      <c r="G24" s="4" t="s">
        <v>98</v>
      </c>
      <c r="H24" s="4" t="s">
        <v>99</v>
      </c>
      <c r="I24" s="4"/>
      <c r="J24" s="4"/>
      <c r="K24" s="4">
        <v>226</v>
      </c>
      <c r="L24" s="4">
        <v>5</v>
      </c>
      <c r="M24" s="4">
        <v>3</v>
      </c>
      <c r="N24" s="4" t="s">
        <v>3</v>
      </c>
      <c r="O24" s="4">
        <v>2</v>
      </c>
      <c r="P24" s="4"/>
    </row>
    <row r="25" spans="1:19" x14ac:dyDescent="0.2">
      <c r="A25" s="4">
        <v>50</v>
      </c>
      <c r="B25" s="4">
        <v>0</v>
      </c>
      <c r="C25" s="4">
        <v>0</v>
      </c>
      <c r="D25" s="4">
        <v>1</v>
      </c>
      <c r="E25" s="4">
        <v>227</v>
      </c>
      <c r="F25" s="4">
        <v>0</v>
      </c>
      <c r="G25" s="4" t="s">
        <v>100</v>
      </c>
      <c r="H25" s="4" t="s">
        <v>101</v>
      </c>
      <c r="I25" s="4"/>
      <c r="J25" s="4"/>
      <c r="K25" s="4">
        <v>227</v>
      </c>
      <c r="L25" s="4">
        <v>6</v>
      </c>
      <c r="M25" s="4">
        <v>3</v>
      </c>
      <c r="N25" s="4" t="s">
        <v>3</v>
      </c>
      <c r="O25" s="4">
        <v>2</v>
      </c>
      <c r="P25" s="4"/>
    </row>
    <row r="26" spans="1:19" x14ac:dyDescent="0.2">
      <c r="A26" s="4">
        <v>50</v>
      </c>
      <c r="B26" s="4">
        <v>0</v>
      </c>
      <c r="C26" s="4">
        <v>0</v>
      </c>
      <c r="D26" s="4">
        <v>1</v>
      </c>
      <c r="E26" s="4">
        <v>228</v>
      </c>
      <c r="F26" s="4">
        <v>4565513.7699999996</v>
      </c>
      <c r="G26" s="4" t="s">
        <v>102</v>
      </c>
      <c r="H26" s="4" t="s">
        <v>103</v>
      </c>
      <c r="I26" s="4"/>
      <c r="J26" s="4"/>
      <c r="K26" s="4">
        <v>228</v>
      </c>
      <c r="L26" s="4">
        <v>7</v>
      </c>
      <c r="M26" s="4">
        <v>3</v>
      </c>
      <c r="N26" s="4" t="s">
        <v>3</v>
      </c>
      <c r="O26" s="4">
        <v>2</v>
      </c>
      <c r="P26" s="4"/>
    </row>
    <row r="27" spans="1:19" x14ac:dyDescent="0.2">
      <c r="A27" s="4">
        <v>50</v>
      </c>
      <c r="B27" s="4">
        <v>0</v>
      </c>
      <c r="C27" s="4">
        <v>0</v>
      </c>
      <c r="D27" s="4">
        <v>1</v>
      </c>
      <c r="E27" s="4">
        <v>216</v>
      </c>
      <c r="F27" s="4">
        <v>94388.08</v>
      </c>
      <c r="G27" s="4" t="s">
        <v>104</v>
      </c>
      <c r="H27" s="4" t="s">
        <v>105</v>
      </c>
      <c r="I27" s="4"/>
      <c r="J27" s="4"/>
      <c r="K27" s="4">
        <v>216</v>
      </c>
      <c r="L27" s="4">
        <v>8</v>
      </c>
      <c r="M27" s="4">
        <v>3</v>
      </c>
      <c r="N27" s="4" t="s">
        <v>3</v>
      </c>
      <c r="O27" s="4">
        <v>2</v>
      </c>
      <c r="P27" s="4"/>
    </row>
    <row r="28" spans="1:19" x14ac:dyDescent="0.2">
      <c r="A28" s="4">
        <v>50</v>
      </c>
      <c r="B28" s="4">
        <v>0</v>
      </c>
      <c r="C28" s="4">
        <v>0</v>
      </c>
      <c r="D28" s="4">
        <v>1</v>
      </c>
      <c r="E28" s="4">
        <v>223</v>
      </c>
      <c r="F28" s="4">
        <v>0</v>
      </c>
      <c r="G28" s="4" t="s">
        <v>106</v>
      </c>
      <c r="H28" s="4" t="s">
        <v>107</v>
      </c>
      <c r="I28" s="4"/>
      <c r="J28" s="4"/>
      <c r="K28" s="4">
        <v>223</v>
      </c>
      <c r="L28" s="4">
        <v>9</v>
      </c>
      <c r="M28" s="4">
        <v>3</v>
      </c>
      <c r="N28" s="4" t="s">
        <v>3</v>
      </c>
      <c r="O28" s="4">
        <v>2</v>
      </c>
      <c r="P28" s="4"/>
    </row>
    <row r="29" spans="1:19" x14ac:dyDescent="0.2">
      <c r="A29" s="4">
        <v>50</v>
      </c>
      <c r="B29" s="4">
        <v>0</v>
      </c>
      <c r="C29" s="4">
        <v>0</v>
      </c>
      <c r="D29" s="4">
        <v>1</v>
      </c>
      <c r="E29" s="4">
        <v>229</v>
      </c>
      <c r="F29" s="4">
        <v>94388.08</v>
      </c>
      <c r="G29" s="4" t="s">
        <v>108</v>
      </c>
      <c r="H29" s="4" t="s">
        <v>109</v>
      </c>
      <c r="I29" s="4"/>
      <c r="J29" s="4"/>
      <c r="K29" s="4">
        <v>229</v>
      </c>
      <c r="L29" s="4">
        <v>10</v>
      </c>
      <c r="M29" s="4">
        <v>3</v>
      </c>
      <c r="N29" s="4" t="s">
        <v>3</v>
      </c>
      <c r="O29" s="4">
        <v>2</v>
      </c>
      <c r="P29" s="4"/>
    </row>
    <row r="30" spans="1:19" x14ac:dyDescent="0.2">
      <c r="A30" s="4">
        <v>50</v>
      </c>
      <c r="B30" s="4">
        <v>0</v>
      </c>
      <c r="C30" s="4">
        <v>0</v>
      </c>
      <c r="D30" s="4">
        <v>1</v>
      </c>
      <c r="E30" s="4">
        <v>203</v>
      </c>
      <c r="F30" s="4">
        <v>2359190.41</v>
      </c>
      <c r="G30" s="4" t="s">
        <v>110</v>
      </c>
      <c r="H30" s="4" t="s">
        <v>111</v>
      </c>
      <c r="I30" s="4"/>
      <c r="J30" s="4"/>
      <c r="K30" s="4">
        <v>203</v>
      </c>
      <c r="L30" s="4">
        <v>11</v>
      </c>
      <c r="M30" s="4">
        <v>3</v>
      </c>
      <c r="N30" s="4" t="s">
        <v>3</v>
      </c>
      <c r="O30" s="4">
        <v>2</v>
      </c>
      <c r="P30" s="4"/>
    </row>
    <row r="31" spans="1:19" x14ac:dyDescent="0.2">
      <c r="A31" s="4">
        <v>50</v>
      </c>
      <c r="B31" s="4">
        <v>0</v>
      </c>
      <c r="C31" s="4">
        <v>0</v>
      </c>
      <c r="D31" s="4">
        <v>1</v>
      </c>
      <c r="E31" s="4">
        <v>204</v>
      </c>
      <c r="F31" s="4">
        <v>43295.86</v>
      </c>
      <c r="G31" s="4" t="s">
        <v>112</v>
      </c>
      <c r="H31" s="4" t="s">
        <v>113</v>
      </c>
      <c r="I31" s="4"/>
      <c r="J31" s="4"/>
      <c r="K31" s="4">
        <v>204</v>
      </c>
      <c r="L31" s="4">
        <v>12</v>
      </c>
      <c r="M31" s="4">
        <v>3</v>
      </c>
      <c r="N31" s="4" t="s">
        <v>3</v>
      </c>
      <c r="O31" s="4">
        <v>2</v>
      </c>
      <c r="P31" s="4"/>
    </row>
    <row r="32" spans="1:19" x14ac:dyDescent="0.2">
      <c r="A32" s="4">
        <v>50</v>
      </c>
      <c r="B32" s="4">
        <v>0</v>
      </c>
      <c r="C32" s="4">
        <v>0</v>
      </c>
      <c r="D32" s="4">
        <v>1</v>
      </c>
      <c r="E32" s="4">
        <v>205</v>
      </c>
      <c r="F32" s="4">
        <v>3860036.41</v>
      </c>
      <c r="G32" s="4" t="s">
        <v>114</v>
      </c>
      <c r="H32" s="4" t="s">
        <v>115</v>
      </c>
      <c r="I32" s="4"/>
      <c r="J32" s="4"/>
      <c r="K32" s="4">
        <v>205</v>
      </c>
      <c r="L32" s="4">
        <v>13</v>
      </c>
      <c r="M32" s="4">
        <v>3</v>
      </c>
      <c r="N32" s="4" t="s">
        <v>3</v>
      </c>
      <c r="O32" s="4">
        <v>2</v>
      </c>
      <c r="P32" s="4"/>
    </row>
    <row r="33" spans="1:26" x14ac:dyDescent="0.2">
      <c r="A33" s="4">
        <v>50</v>
      </c>
      <c r="B33" s="4">
        <v>0</v>
      </c>
      <c r="C33" s="4">
        <v>0</v>
      </c>
      <c r="D33" s="4">
        <v>1</v>
      </c>
      <c r="E33" s="4">
        <v>214</v>
      </c>
      <c r="F33" s="4">
        <v>10520892.23</v>
      </c>
      <c r="G33" s="4" t="s">
        <v>116</v>
      </c>
      <c r="H33" s="4" t="s">
        <v>117</v>
      </c>
      <c r="I33" s="4"/>
      <c r="J33" s="4"/>
      <c r="K33" s="4">
        <v>214</v>
      </c>
      <c r="L33" s="4">
        <v>14</v>
      </c>
      <c r="M33" s="4">
        <v>3</v>
      </c>
      <c r="N33" s="4" t="s">
        <v>3</v>
      </c>
      <c r="O33" s="4">
        <v>2</v>
      </c>
      <c r="P33" s="4"/>
    </row>
    <row r="34" spans="1:26" x14ac:dyDescent="0.2">
      <c r="A34" s="4">
        <v>50</v>
      </c>
      <c r="B34" s="4">
        <v>0</v>
      </c>
      <c r="C34" s="4">
        <v>0</v>
      </c>
      <c r="D34" s="4">
        <v>1</v>
      </c>
      <c r="E34" s="4">
        <v>215</v>
      </c>
      <c r="F34" s="4">
        <v>0</v>
      </c>
      <c r="G34" s="4" t="s">
        <v>118</v>
      </c>
      <c r="H34" s="4" t="s">
        <v>119</v>
      </c>
      <c r="I34" s="4"/>
      <c r="J34" s="4"/>
      <c r="K34" s="4">
        <v>215</v>
      </c>
      <c r="L34" s="4">
        <v>15</v>
      </c>
      <c r="M34" s="4">
        <v>3</v>
      </c>
      <c r="N34" s="4" t="s">
        <v>3</v>
      </c>
      <c r="O34" s="4">
        <v>2</v>
      </c>
      <c r="P34" s="4"/>
    </row>
    <row r="35" spans="1:26" x14ac:dyDescent="0.2">
      <c r="A35" s="4">
        <v>50</v>
      </c>
      <c r="B35" s="4">
        <v>0</v>
      </c>
      <c r="C35" s="4">
        <v>0</v>
      </c>
      <c r="D35" s="4">
        <v>1</v>
      </c>
      <c r="E35" s="4">
        <v>217</v>
      </c>
      <c r="F35" s="4">
        <v>787045.37</v>
      </c>
      <c r="G35" s="4" t="s">
        <v>120</v>
      </c>
      <c r="H35" s="4" t="s">
        <v>121</v>
      </c>
      <c r="I35" s="4"/>
      <c r="J35" s="4"/>
      <c r="K35" s="4">
        <v>217</v>
      </c>
      <c r="L35" s="4">
        <v>16</v>
      </c>
      <c r="M35" s="4">
        <v>3</v>
      </c>
      <c r="N35" s="4" t="s">
        <v>3</v>
      </c>
      <c r="O35" s="4">
        <v>2</v>
      </c>
      <c r="P35" s="4"/>
    </row>
    <row r="36" spans="1:26" x14ac:dyDescent="0.2">
      <c r="A36" s="4">
        <v>50</v>
      </c>
      <c r="B36" s="4">
        <v>0</v>
      </c>
      <c r="C36" s="4">
        <v>0</v>
      </c>
      <c r="D36" s="4">
        <v>1</v>
      </c>
      <c r="E36" s="4">
        <v>206</v>
      </c>
      <c r="F36" s="4">
        <v>0</v>
      </c>
      <c r="G36" s="4" t="s">
        <v>122</v>
      </c>
      <c r="H36" s="4" t="s">
        <v>123</v>
      </c>
      <c r="I36" s="4"/>
      <c r="J36" s="4"/>
      <c r="K36" s="4">
        <v>206</v>
      </c>
      <c r="L36" s="4">
        <v>17</v>
      </c>
      <c r="M36" s="4">
        <v>3</v>
      </c>
      <c r="N36" s="4" t="s">
        <v>3</v>
      </c>
      <c r="O36" s="4">
        <v>2</v>
      </c>
      <c r="P36" s="4"/>
    </row>
    <row r="37" spans="1:26" x14ac:dyDescent="0.2">
      <c r="A37" s="4">
        <v>50</v>
      </c>
      <c r="B37" s="4">
        <v>0</v>
      </c>
      <c r="C37" s="4">
        <v>0</v>
      </c>
      <c r="D37" s="4">
        <v>1</v>
      </c>
      <c r="E37" s="4">
        <v>207</v>
      </c>
      <c r="F37" s="4">
        <v>1140.542030663792</v>
      </c>
      <c r="G37" s="4" t="s">
        <v>124</v>
      </c>
      <c r="H37" s="4" t="s">
        <v>125</v>
      </c>
      <c r="I37" s="4"/>
      <c r="J37" s="4"/>
      <c r="K37" s="4">
        <v>207</v>
      </c>
      <c r="L37" s="4">
        <v>18</v>
      </c>
      <c r="M37" s="4">
        <v>3</v>
      </c>
      <c r="N37" s="4" t="s">
        <v>3</v>
      </c>
      <c r="O37" s="4">
        <v>-1</v>
      </c>
      <c r="P37" s="4"/>
    </row>
    <row r="38" spans="1:26" x14ac:dyDescent="0.2">
      <c r="A38" s="4">
        <v>50</v>
      </c>
      <c r="B38" s="4">
        <v>0</v>
      </c>
      <c r="C38" s="4">
        <v>0</v>
      </c>
      <c r="D38" s="4">
        <v>1</v>
      </c>
      <c r="E38" s="4">
        <v>208</v>
      </c>
      <c r="F38" s="4">
        <v>0</v>
      </c>
      <c r="G38" s="4" t="s">
        <v>126</v>
      </c>
      <c r="H38" s="4" t="s">
        <v>127</v>
      </c>
      <c r="I38" s="4"/>
      <c r="J38" s="4"/>
      <c r="K38" s="4">
        <v>208</v>
      </c>
      <c r="L38" s="4">
        <v>19</v>
      </c>
      <c r="M38" s="4">
        <v>3</v>
      </c>
      <c r="N38" s="4" t="s">
        <v>3</v>
      </c>
      <c r="O38" s="4">
        <v>-1</v>
      </c>
      <c r="P38" s="4"/>
    </row>
    <row r="39" spans="1:26" x14ac:dyDescent="0.2">
      <c r="A39" s="4">
        <v>50</v>
      </c>
      <c r="B39" s="4">
        <v>0</v>
      </c>
      <c r="C39" s="4">
        <v>0</v>
      </c>
      <c r="D39" s="4">
        <v>1</v>
      </c>
      <c r="E39" s="4">
        <v>209</v>
      </c>
      <c r="F39" s="4">
        <v>915.4</v>
      </c>
      <c r="G39" s="4" t="s">
        <v>128</v>
      </c>
      <c r="H39" s="4" t="s">
        <v>129</v>
      </c>
      <c r="I39" s="4"/>
      <c r="J39" s="4"/>
      <c r="K39" s="4">
        <v>209</v>
      </c>
      <c r="L39" s="4">
        <v>20</v>
      </c>
      <c r="M39" s="4">
        <v>3</v>
      </c>
      <c r="N39" s="4" t="s">
        <v>3</v>
      </c>
      <c r="O39" s="4">
        <v>2</v>
      </c>
      <c r="P39" s="4"/>
    </row>
    <row r="40" spans="1:26" x14ac:dyDescent="0.2">
      <c r="A40" s="4">
        <v>50</v>
      </c>
      <c r="B40" s="4">
        <v>0</v>
      </c>
      <c r="C40" s="4">
        <v>0</v>
      </c>
      <c r="D40" s="4">
        <v>1</v>
      </c>
      <c r="E40" s="4">
        <v>210</v>
      </c>
      <c r="F40" s="4">
        <v>303635.02</v>
      </c>
      <c r="G40" s="4" t="s">
        <v>130</v>
      </c>
      <c r="H40" s="4" t="s">
        <v>131</v>
      </c>
      <c r="I40" s="4"/>
      <c r="J40" s="4"/>
      <c r="K40" s="4">
        <v>210</v>
      </c>
      <c r="L40" s="4">
        <v>21</v>
      </c>
      <c r="M40" s="4">
        <v>3</v>
      </c>
      <c r="N40" s="4" t="s">
        <v>3</v>
      </c>
      <c r="O40" s="4">
        <v>2</v>
      </c>
      <c r="P40" s="4"/>
    </row>
    <row r="41" spans="1:26" x14ac:dyDescent="0.2">
      <c r="A41" s="4">
        <v>50</v>
      </c>
      <c r="B41" s="4">
        <v>0</v>
      </c>
      <c r="C41" s="4">
        <v>0</v>
      </c>
      <c r="D41" s="4">
        <v>1</v>
      </c>
      <c r="E41" s="4">
        <v>211</v>
      </c>
      <c r="F41" s="4">
        <v>147257.9</v>
      </c>
      <c r="G41" s="4" t="s">
        <v>132</v>
      </c>
      <c r="H41" s="4" t="s">
        <v>133</v>
      </c>
      <c r="I41" s="4"/>
      <c r="J41" s="4"/>
      <c r="K41" s="4">
        <v>211</v>
      </c>
      <c r="L41" s="4">
        <v>22</v>
      </c>
      <c r="M41" s="4">
        <v>3</v>
      </c>
      <c r="N41" s="4" t="s">
        <v>3</v>
      </c>
      <c r="O41" s="4">
        <v>2</v>
      </c>
      <c r="P41" s="4"/>
    </row>
    <row r="42" spans="1:26" x14ac:dyDescent="0.2">
      <c r="A42" s="4">
        <v>50</v>
      </c>
      <c r="B42" s="4">
        <v>0</v>
      </c>
      <c r="C42" s="4">
        <v>0</v>
      </c>
      <c r="D42" s="4">
        <v>1</v>
      </c>
      <c r="E42" s="4">
        <v>224</v>
      </c>
      <c r="F42" s="4">
        <v>11402325.68</v>
      </c>
      <c r="G42" s="4" t="s">
        <v>134</v>
      </c>
      <c r="H42" s="4" t="s">
        <v>135</v>
      </c>
      <c r="I42" s="4"/>
      <c r="J42" s="4"/>
      <c r="K42" s="4">
        <v>224</v>
      </c>
      <c r="L42" s="4">
        <v>23</v>
      </c>
      <c r="M42" s="4">
        <v>3</v>
      </c>
      <c r="N42" s="4" t="s">
        <v>3</v>
      </c>
      <c r="O42" s="4">
        <v>2</v>
      </c>
      <c r="P42" s="4"/>
    </row>
    <row r="44" spans="1:26" x14ac:dyDescent="0.2">
      <c r="A44">
        <v>-1</v>
      </c>
    </row>
    <row r="47" spans="1:26" x14ac:dyDescent="0.2">
      <c r="A47" s="3">
        <v>75</v>
      </c>
      <c r="B47" s="3" t="s">
        <v>272</v>
      </c>
      <c r="C47" s="3">
        <v>2016</v>
      </c>
      <c r="D47" s="3">
        <v>0</v>
      </c>
      <c r="E47" s="3">
        <v>10</v>
      </c>
      <c r="F47" s="3">
        <v>0</v>
      </c>
      <c r="G47" s="3">
        <v>0</v>
      </c>
      <c r="H47" s="3">
        <v>2</v>
      </c>
      <c r="I47" s="3">
        <v>1</v>
      </c>
      <c r="J47" s="3">
        <v>1</v>
      </c>
      <c r="K47" s="3">
        <v>98</v>
      </c>
      <c r="L47" s="3">
        <v>69</v>
      </c>
      <c r="M47" s="3">
        <v>0</v>
      </c>
      <c r="N47" s="3">
        <v>90163004</v>
      </c>
      <c r="O47" s="3">
        <v>1</v>
      </c>
    </row>
    <row r="48" spans="1:26" x14ac:dyDescent="0.2">
      <c r="A48" s="5">
        <v>1</v>
      </c>
      <c r="B48" s="5" t="s">
        <v>273</v>
      </c>
      <c r="C48" s="5" t="s">
        <v>274</v>
      </c>
      <c r="D48" s="5">
        <v>2016</v>
      </c>
      <c r="E48" s="5">
        <v>10</v>
      </c>
      <c r="F48" s="5">
        <v>1</v>
      </c>
      <c r="G48" s="5">
        <v>1</v>
      </c>
      <c r="H48" s="5">
        <v>0</v>
      </c>
      <c r="I48" s="5">
        <v>2</v>
      </c>
      <c r="J48" s="5">
        <v>1</v>
      </c>
      <c r="K48" s="5">
        <v>1</v>
      </c>
      <c r="L48" s="5">
        <v>1</v>
      </c>
      <c r="M48" s="5">
        <v>1</v>
      </c>
      <c r="N48" s="5">
        <v>1</v>
      </c>
      <c r="O48" s="5">
        <v>1</v>
      </c>
      <c r="P48" s="5">
        <v>1</v>
      </c>
      <c r="Q48" s="5">
        <v>1</v>
      </c>
      <c r="R48" s="5" t="s">
        <v>3</v>
      </c>
      <c r="S48" s="5" t="s">
        <v>3</v>
      </c>
      <c r="T48" s="5" t="s">
        <v>3</v>
      </c>
      <c r="U48" s="5" t="s">
        <v>3</v>
      </c>
      <c r="V48" s="5" t="s">
        <v>3</v>
      </c>
      <c r="W48" s="5" t="s">
        <v>3</v>
      </c>
      <c r="X48" s="5" t="s">
        <v>3</v>
      </c>
      <c r="Y48" s="5" t="s">
        <v>3</v>
      </c>
      <c r="Z48" s="5" t="s">
        <v>3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122"/>
  <sheetViews>
    <sheetView workbookViewId="0"/>
  </sheetViews>
  <sheetFormatPr defaultRowHeight="12.75" x14ac:dyDescent="0.2"/>
  <sheetData>
    <row r="1" spans="1:106" x14ac:dyDescent="0.2">
      <c r="A1">
        <f>ROW(Source!A28)</f>
        <v>28</v>
      </c>
      <c r="B1">
        <v>90163004</v>
      </c>
      <c r="C1">
        <v>90163308</v>
      </c>
      <c r="D1">
        <v>7182702</v>
      </c>
      <c r="E1">
        <v>7157832</v>
      </c>
      <c r="F1">
        <v>1</v>
      </c>
      <c r="G1">
        <v>7157832</v>
      </c>
      <c r="H1">
        <v>3</v>
      </c>
      <c r="I1" t="s">
        <v>37</v>
      </c>
      <c r="J1" t="s">
        <v>3</v>
      </c>
      <c r="K1" t="s">
        <v>38</v>
      </c>
      <c r="L1">
        <v>1348</v>
      </c>
      <c r="N1">
        <v>1009</v>
      </c>
      <c r="O1" t="s">
        <v>39</v>
      </c>
      <c r="P1" t="s">
        <v>39</v>
      </c>
      <c r="Q1">
        <v>1000</v>
      </c>
      <c r="W1">
        <v>1</v>
      </c>
      <c r="X1">
        <v>-1541367988</v>
      </c>
      <c r="Y1">
        <v>-3.7025855999999999</v>
      </c>
      <c r="AA1">
        <v>0</v>
      </c>
      <c r="AB1">
        <v>0</v>
      </c>
      <c r="AC1">
        <v>0</v>
      </c>
      <c r="AD1">
        <v>0</v>
      </c>
      <c r="AE1">
        <v>0</v>
      </c>
      <c r="AF1">
        <v>0</v>
      </c>
      <c r="AG1">
        <v>0</v>
      </c>
      <c r="AH1">
        <v>0</v>
      </c>
      <c r="AI1">
        <v>1</v>
      </c>
      <c r="AJ1">
        <v>1</v>
      </c>
      <c r="AK1">
        <v>1</v>
      </c>
      <c r="AL1">
        <v>1</v>
      </c>
      <c r="AN1">
        <v>0</v>
      </c>
      <c r="AO1">
        <v>1</v>
      </c>
      <c r="AP1">
        <v>1</v>
      </c>
      <c r="AQ1">
        <v>0</v>
      </c>
      <c r="AR1">
        <v>0</v>
      </c>
      <c r="AS1" t="s">
        <v>3</v>
      </c>
      <c r="AT1">
        <v>-4.2854000000000001</v>
      </c>
      <c r="AU1" t="s">
        <v>21</v>
      </c>
      <c r="AV1">
        <v>0</v>
      </c>
      <c r="AW1">
        <v>2</v>
      </c>
      <c r="AX1">
        <v>90163313</v>
      </c>
      <c r="AY1">
        <v>1</v>
      </c>
      <c r="AZ1">
        <v>6144</v>
      </c>
      <c r="BA1">
        <v>1</v>
      </c>
      <c r="BB1">
        <v>0</v>
      </c>
      <c r="BC1">
        <v>0</v>
      </c>
      <c r="BD1">
        <v>0</v>
      </c>
      <c r="BE1">
        <v>0</v>
      </c>
      <c r="BF1">
        <v>0</v>
      </c>
      <c r="BG1">
        <v>0</v>
      </c>
      <c r="BH1">
        <v>0</v>
      </c>
      <c r="BI1">
        <v>0</v>
      </c>
      <c r="BJ1">
        <v>0</v>
      </c>
      <c r="BK1">
        <v>0</v>
      </c>
      <c r="BL1">
        <v>0</v>
      </c>
      <c r="BM1">
        <v>0</v>
      </c>
      <c r="BN1">
        <v>0</v>
      </c>
      <c r="BO1">
        <v>0</v>
      </c>
      <c r="BP1">
        <v>0</v>
      </c>
      <c r="BQ1">
        <v>0</v>
      </c>
      <c r="BR1">
        <v>0</v>
      </c>
      <c r="BS1">
        <v>0</v>
      </c>
      <c r="BT1">
        <v>0</v>
      </c>
      <c r="BU1">
        <v>0</v>
      </c>
      <c r="BV1">
        <v>0</v>
      </c>
      <c r="BW1">
        <v>0</v>
      </c>
      <c r="CX1">
        <f>Y1*Source!I28</f>
        <v>-185.12927999999999</v>
      </c>
      <c r="CY1">
        <f>AA1</f>
        <v>0</v>
      </c>
      <c r="CZ1">
        <f>AE1</f>
        <v>0</v>
      </c>
      <c r="DA1">
        <f>AI1</f>
        <v>1</v>
      </c>
      <c r="DB1">
        <v>0</v>
      </c>
    </row>
    <row r="2" spans="1:106" x14ac:dyDescent="0.2">
      <c r="A2">
        <f>ROW(Source!A28)</f>
        <v>28</v>
      </c>
      <c r="B2">
        <v>90163004</v>
      </c>
      <c r="C2">
        <v>90163308</v>
      </c>
      <c r="D2">
        <v>7182705</v>
      </c>
      <c r="E2">
        <v>7157832</v>
      </c>
      <c r="F2">
        <v>1</v>
      </c>
      <c r="G2">
        <v>7157832</v>
      </c>
      <c r="H2">
        <v>3</v>
      </c>
      <c r="I2" t="s">
        <v>37</v>
      </c>
      <c r="J2" t="s">
        <v>3</v>
      </c>
      <c r="K2" t="s">
        <v>41</v>
      </c>
      <c r="L2">
        <v>1339</v>
      </c>
      <c r="N2">
        <v>1007</v>
      </c>
      <c r="O2" t="s">
        <v>30</v>
      </c>
      <c r="P2" t="s">
        <v>30</v>
      </c>
      <c r="Q2">
        <v>1</v>
      </c>
      <c r="W2">
        <v>1</v>
      </c>
      <c r="X2">
        <v>-589967668</v>
      </c>
      <c r="Y2">
        <v>-10.071648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1</v>
      </c>
      <c r="AJ2">
        <v>1</v>
      </c>
      <c r="AK2">
        <v>1</v>
      </c>
      <c r="AL2">
        <v>1</v>
      </c>
      <c r="AN2">
        <v>0</v>
      </c>
      <c r="AO2">
        <v>1</v>
      </c>
      <c r="AP2">
        <v>1</v>
      </c>
      <c r="AQ2">
        <v>0</v>
      </c>
      <c r="AR2">
        <v>0</v>
      </c>
      <c r="AS2" t="s">
        <v>3</v>
      </c>
      <c r="AT2">
        <v>-11.657</v>
      </c>
      <c r="AU2" t="s">
        <v>21</v>
      </c>
      <c r="AV2">
        <v>0</v>
      </c>
      <c r="AW2">
        <v>2</v>
      </c>
      <c r="AX2">
        <v>90163314</v>
      </c>
      <c r="AY2">
        <v>1</v>
      </c>
      <c r="AZ2">
        <v>6144</v>
      </c>
      <c r="BA2">
        <v>2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>
        <v>0</v>
      </c>
      <c r="BU2">
        <v>0</v>
      </c>
      <c r="BV2">
        <v>0</v>
      </c>
      <c r="BW2">
        <v>0</v>
      </c>
      <c r="CX2">
        <f>Y2*Source!I28</f>
        <v>-503.58240000000001</v>
      </c>
      <c r="CY2">
        <f>AA2</f>
        <v>0</v>
      </c>
      <c r="CZ2">
        <f>AE2</f>
        <v>0</v>
      </c>
      <c r="DA2">
        <f>AI2</f>
        <v>1</v>
      </c>
      <c r="DB2">
        <v>0</v>
      </c>
    </row>
    <row r="3" spans="1:106" x14ac:dyDescent="0.2">
      <c r="A3">
        <f>ROW(Source!A28)</f>
        <v>28</v>
      </c>
      <c r="B3">
        <v>90163004</v>
      </c>
      <c r="C3">
        <v>90163308</v>
      </c>
      <c r="D3">
        <v>7232338</v>
      </c>
      <c r="E3">
        <v>1</v>
      </c>
      <c r="F3">
        <v>1</v>
      </c>
      <c r="G3">
        <v>7157832</v>
      </c>
      <c r="H3">
        <v>3</v>
      </c>
      <c r="I3" t="s">
        <v>28</v>
      </c>
      <c r="J3" t="s">
        <v>31</v>
      </c>
      <c r="K3" t="s">
        <v>29</v>
      </c>
      <c r="L3">
        <v>1339</v>
      </c>
      <c r="N3">
        <v>1007</v>
      </c>
      <c r="O3" t="s">
        <v>30</v>
      </c>
      <c r="P3" t="s">
        <v>30</v>
      </c>
      <c r="Q3">
        <v>1</v>
      </c>
      <c r="W3">
        <v>0</v>
      </c>
      <c r="X3">
        <v>425610400</v>
      </c>
      <c r="Y3">
        <v>-5.8000000000000003E-2</v>
      </c>
      <c r="AA3">
        <v>2344.19</v>
      </c>
      <c r="AB3">
        <v>0</v>
      </c>
      <c r="AC3">
        <v>0</v>
      </c>
      <c r="AD3">
        <v>0</v>
      </c>
      <c r="AE3">
        <v>454.3</v>
      </c>
      <c r="AF3">
        <v>0</v>
      </c>
      <c r="AG3">
        <v>0</v>
      </c>
      <c r="AH3">
        <v>0</v>
      </c>
      <c r="AI3">
        <v>5.16</v>
      </c>
      <c r="AJ3">
        <v>1</v>
      </c>
      <c r="AK3">
        <v>1</v>
      </c>
      <c r="AL3">
        <v>1</v>
      </c>
      <c r="AN3">
        <v>0</v>
      </c>
      <c r="AO3">
        <v>0</v>
      </c>
      <c r="AP3">
        <v>0</v>
      </c>
      <c r="AQ3">
        <v>0</v>
      </c>
      <c r="AR3">
        <v>0</v>
      </c>
      <c r="AS3" t="s">
        <v>3</v>
      </c>
      <c r="AT3">
        <v>-5.8000000000000003E-2</v>
      </c>
      <c r="AU3" t="s">
        <v>3</v>
      </c>
      <c r="AV3">
        <v>0</v>
      </c>
      <c r="AW3">
        <v>1</v>
      </c>
      <c r="AX3">
        <v>-1</v>
      </c>
      <c r="AY3">
        <v>0</v>
      </c>
      <c r="AZ3">
        <v>0</v>
      </c>
      <c r="BA3" t="s">
        <v>3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CX3">
        <f>Y3*Source!I28</f>
        <v>-2.9000000000000004</v>
      </c>
      <c r="CY3">
        <f>AA3</f>
        <v>2344.19</v>
      </c>
      <c r="CZ3">
        <f>AE3</f>
        <v>454.3</v>
      </c>
      <c r="DA3">
        <f>AI3</f>
        <v>5.16</v>
      </c>
      <c r="DB3">
        <v>0</v>
      </c>
    </row>
    <row r="4" spans="1:106" x14ac:dyDescent="0.2">
      <c r="A4">
        <f>ROW(Source!A28)</f>
        <v>28</v>
      </c>
      <c r="B4">
        <v>90163004</v>
      </c>
      <c r="C4">
        <v>90163308</v>
      </c>
      <c r="D4">
        <v>7240845</v>
      </c>
      <c r="E4">
        <v>1</v>
      </c>
      <c r="F4">
        <v>1</v>
      </c>
      <c r="G4">
        <v>7157832</v>
      </c>
      <c r="H4">
        <v>3</v>
      </c>
      <c r="I4" t="s">
        <v>33</v>
      </c>
      <c r="J4" t="s">
        <v>35</v>
      </c>
      <c r="K4" t="s">
        <v>34</v>
      </c>
      <c r="L4">
        <v>1301</v>
      </c>
      <c r="N4">
        <v>1003</v>
      </c>
      <c r="O4" t="s">
        <v>18</v>
      </c>
      <c r="P4" t="s">
        <v>18</v>
      </c>
      <c r="Q4">
        <v>1</v>
      </c>
      <c r="W4">
        <v>0</v>
      </c>
      <c r="X4">
        <v>1501988888</v>
      </c>
      <c r="Y4">
        <v>2</v>
      </c>
      <c r="AA4">
        <v>863.65</v>
      </c>
      <c r="AB4">
        <v>0</v>
      </c>
      <c r="AC4">
        <v>0</v>
      </c>
      <c r="AD4">
        <v>0</v>
      </c>
      <c r="AE4">
        <v>367.51</v>
      </c>
      <c r="AF4">
        <v>0</v>
      </c>
      <c r="AG4">
        <v>0</v>
      </c>
      <c r="AH4">
        <v>0</v>
      </c>
      <c r="AI4">
        <v>2.35</v>
      </c>
      <c r="AJ4">
        <v>1</v>
      </c>
      <c r="AK4">
        <v>1</v>
      </c>
      <c r="AL4">
        <v>1</v>
      </c>
      <c r="AN4">
        <v>0</v>
      </c>
      <c r="AO4">
        <v>0</v>
      </c>
      <c r="AP4">
        <v>0</v>
      </c>
      <c r="AQ4">
        <v>0</v>
      </c>
      <c r="AR4">
        <v>0</v>
      </c>
      <c r="AS4" t="s">
        <v>3</v>
      </c>
      <c r="AT4">
        <v>2</v>
      </c>
      <c r="AU4" t="s">
        <v>3</v>
      </c>
      <c r="AV4">
        <v>0</v>
      </c>
      <c r="AW4">
        <v>1</v>
      </c>
      <c r="AX4">
        <v>-1</v>
      </c>
      <c r="AY4">
        <v>0</v>
      </c>
      <c r="AZ4">
        <v>0</v>
      </c>
      <c r="BA4" t="s">
        <v>3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CX4">
        <f>Y4*Source!I28</f>
        <v>100</v>
      </c>
      <c r="CY4">
        <f>AA4</f>
        <v>863.65</v>
      </c>
      <c r="CZ4">
        <f>AE4</f>
        <v>367.51</v>
      </c>
      <c r="DA4">
        <f>AI4</f>
        <v>2.35</v>
      </c>
      <c r="DB4">
        <v>0</v>
      </c>
    </row>
    <row r="5" spans="1:106" x14ac:dyDescent="0.2">
      <c r="A5">
        <f>ROW(Source!A33)</f>
        <v>33</v>
      </c>
      <c r="B5">
        <v>90163004</v>
      </c>
      <c r="C5">
        <v>90163319</v>
      </c>
      <c r="D5">
        <v>7157835</v>
      </c>
      <c r="E5">
        <v>7157832</v>
      </c>
      <c r="F5">
        <v>1</v>
      </c>
      <c r="G5">
        <v>7157832</v>
      </c>
      <c r="H5">
        <v>1</v>
      </c>
      <c r="I5" t="s">
        <v>276</v>
      </c>
      <c r="J5" t="s">
        <v>3</v>
      </c>
      <c r="K5" t="s">
        <v>277</v>
      </c>
      <c r="L5">
        <v>1191</v>
      </c>
      <c r="N5">
        <v>1013</v>
      </c>
      <c r="O5" t="s">
        <v>278</v>
      </c>
      <c r="P5" t="s">
        <v>278</v>
      </c>
      <c r="Q5">
        <v>1</v>
      </c>
      <c r="W5">
        <v>0</v>
      </c>
      <c r="X5">
        <v>946207192</v>
      </c>
      <c r="Y5">
        <v>3.2084999999999999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1</v>
      </c>
      <c r="AJ5">
        <v>1</v>
      </c>
      <c r="AK5">
        <v>1</v>
      </c>
      <c r="AL5">
        <v>1</v>
      </c>
      <c r="AN5">
        <v>0</v>
      </c>
      <c r="AO5">
        <v>1</v>
      </c>
      <c r="AP5">
        <v>1</v>
      </c>
      <c r="AQ5">
        <v>0</v>
      </c>
      <c r="AR5">
        <v>0</v>
      </c>
      <c r="AS5" t="s">
        <v>3</v>
      </c>
      <c r="AT5">
        <v>2.79</v>
      </c>
      <c r="AU5" t="s">
        <v>47</v>
      </c>
      <c r="AV5">
        <v>1</v>
      </c>
      <c r="AW5">
        <v>2</v>
      </c>
      <c r="AX5">
        <v>90163323</v>
      </c>
      <c r="AY5">
        <v>1</v>
      </c>
      <c r="AZ5">
        <v>0</v>
      </c>
      <c r="BA5">
        <v>3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CX5">
        <f>Y5*Source!I33</f>
        <v>44.918999999999997</v>
      </c>
      <c r="CY5">
        <f>AD5</f>
        <v>0</v>
      </c>
      <c r="CZ5">
        <f>AH5</f>
        <v>0</v>
      </c>
      <c r="DA5">
        <f>AL5</f>
        <v>1</v>
      </c>
      <c r="DB5">
        <v>0</v>
      </c>
    </row>
    <row r="6" spans="1:106" x14ac:dyDescent="0.2">
      <c r="A6">
        <f>ROW(Source!A33)</f>
        <v>33</v>
      </c>
      <c r="B6">
        <v>90163004</v>
      </c>
      <c r="C6">
        <v>90163319</v>
      </c>
      <c r="D6">
        <v>7159942</v>
      </c>
      <c r="E6">
        <v>7157832</v>
      </c>
      <c r="F6">
        <v>1</v>
      </c>
      <c r="G6">
        <v>7157832</v>
      </c>
      <c r="H6">
        <v>2</v>
      </c>
      <c r="I6" t="s">
        <v>279</v>
      </c>
      <c r="J6" t="s">
        <v>3</v>
      </c>
      <c r="K6" t="s">
        <v>280</v>
      </c>
      <c r="L6">
        <v>1344</v>
      </c>
      <c r="N6">
        <v>1008</v>
      </c>
      <c r="O6" t="s">
        <v>281</v>
      </c>
      <c r="P6" t="s">
        <v>281</v>
      </c>
      <c r="Q6">
        <v>1</v>
      </c>
      <c r="W6">
        <v>0</v>
      </c>
      <c r="X6">
        <v>-450565604</v>
      </c>
      <c r="Y6">
        <v>51.910999999999994</v>
      </c>
      <c r="AA6">
        <v>0</v>
      </c>
      <c r="AB6">
        <v>1.07</v>
      </c>
      <c r="AC6">
        <v>0</v>
      </c>
      <c r="AD6">
        <v>0</v>
      </c>
      <c r="AE6">
        <v>0</v>
      </c>
      <c r="AF6">
        <v>1</v>
      </c>
      <c r="AG6">
        <v>0</v>
      </c>
      <c r="AH6">
        <v>0</v>
      </c>
      <c r="AI6">
        <v>1</v>
      </c>
      <c r="AJ6">
        <v>1</v>
      </c>
      <c r="AK6">
        <v>1</v>
      </c>
      <c r="AL6">
        <v>1</v>
      </c>
      <c r="AN6">
        <v>0</v>
      </c>
      <c r="AO6">
        <v>1</v>
      </c>
      <c r="AP6">
        <v>1</v>
      </c>
      <c r="AQ6">
        <v>0</v>
      </c>
      <c r="AR6">
        <v>0</v>
      </c>
      <c r="AS6" t="s">
        <v>3</v>
      </c>
      <c r="AT6">
        <v>45.14</v>
      </c>
      <c r="AU6" t="s">
        <v>47</v>
      </c>
      <c r="AV6">
        <v>0</v>
      </c>
      <c r="AW6">
        <v>2</v>
      </c>
      <c r="AX6">
        <v>90163324</v>
      </c>
      <c r="AY6">
        <v>1</v>
      </c>
      <c r="AZ6">
        <v>0</v>
      </c>
      <c r="BA6">
        <v>4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CX6">
        <f>Y6*Source!I33</f>
        <v>726.75399999999991</v>
      </c>
      <c r="CY6">
        <f>AB6</f>
        <v>1.07</v>
      </c>
      <c r="CZ6">
        <f>AF6</f>
        <v>1</v>
      </c>
      <c r="DA6">
        <f>AJ6</f>
        <v>1</v>
      </c>
      <c r="DB6">
        <v>0</v>
      </c>
    </row>
    <row r="7" spans="1:106" x14ac:dyDescent="0.2">
      <c r="A7">
        <f>ROW(Source!A33)</f>
        <v>33</v>
      </c>
      <c r="B7">
        <v>90163004</v>
      </c>
      <c r="C7">
        <v>90163319</v>
      </c>
      <c r="D7">
        <v>7182707</v>
      </c>
      <c r="E7">
        <v>7157832</v>
      </c>
      <c r="F7">
        <v>1</v>
      </c>
      <c r="G7">
        <v>7157832</v>
      </c>
      <c r="H7">
        <v>3</v>
      </c>
      <c r="I7" t="s">
        <v>37</v>
      </c>
      <c r="J7" t="s">
        <v>3</v>
      </c>
      <c r="K7" t="s">
        <v>282</v>
      </c>
      <c r="L7">
        <v>1344</v>
      </c>
      <c r="N7">
        <v>1008</v>
      </c>
      <c r="O7" t="s">
        <v>281</v>
      </c>
      <c r="P7" t="s">
        <v>281</v>
      </c>
      <c r="Q7">
        <v>1</v>
      </c>
      <c r="W7">
        <v>0</v>
      </c>
      <c r="X7">
        <v>-360884371</v>
      </c>
      <c r="Y7">
        <v>32.4</v>
      </c>
      <c r="AA7">
        <v>1</v>
      </c>
      <c r="AB7">
        <v>0</v>
      </c>
      <c r="AC7">
        <v>0</v>
      </c>
      <c r="AD7">
        <v>0</v>
      </c>
      <c r="AE7">
        <v>1</v>
      </c>
      <c r="AF7">
        <v>0</v>
      </c>
      <c r="AG7">
        <v>0</v>
      </c>
      <c r="AH7">
        <v>0</v>
      </c>
      <c r="AI7">
        <v>1</v>
      </c>
      <c r="AJ7">
        <v>1</v>
      </c>
      <c r="AK7">
        <v>1</v>
      </c>
      <c r="AL7">
        <v>1</v>
      </c>
      <c r="AN7">
        <v>0</v>
      </c>
      <c r="AO7">
        <v>1</v>
      </c>
      <c r="AP7">
        <v>0</v>
      </c>
      <c r="AQ7">
        <v>0</v>
      </c>
      <c r="AR7">
        <v>0</v>
      </c>
      <c r="AS7" t="s">
        <v>3</v>
      </c>
      <c r="AT7">
        <v>32.4</v>
      </c>
      <c r="AU7" t="s">
        <v>3</v>
      </c>
      <c r="AV7">
        <v>0</v>
      </c>
      <c r="AW7">
        <v>2</v>
      </c>
      <c r="AX7">
        <v>90163325</v>
      </c>
      <c r="AY7">
        <v>1</v>
      </c>
      <c r="AZ7">
        <v>0</v>
      </c>
      <c r="BA7">
        <v>5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CX7">
        <f>Y7*Source!I33</f>
        <v>453.59999999999997</v>
      </c>
      <c r="CY7">
        <f>AA7</f>
        <v>1</v>
      </c>
      <c r="CZ7">
        <f>AE7</f>
        <v>1</v>
      </c>
      <c r="DA7">
        <f>AI7</f>
        <v>1</v>
      </c>
      <c r="DB7">
        <v>0</v>
      </c>
    </row>
    <row r="8" spans="1:106" x14ac:dyDescent="0.2">
      <c r="A8">
        <f>ROW(Source!A34)</f>
        <v>34</v>
      </c>
      <c r="B8">
        <v>90163004</v>
      </c>
      <c r="C8">
        <v>90163326</v>
      </c>
      <c r="D8">
        <v>7157835</v>
      </c>
      <c r="E8">
        <v>7157832</v>
      </c>
      <c r="F8">
        <v>1</v>
      </c>
      <c r="G8">
        <v>7157832</v>
      </c>
      <c r="H8">
        <v>1</v>
      </c>
      <c r="I8" t="s">
        <v>276</v>
      </c>
      <c r="J8" t="s">
        <v>3</v>
      </c>
      <c r="K8" t="s">
        <v>277</v>
      </c>
      <c r="L8">
        <v>1191</v>
      </c>
      <c r="N8">
        <v>1013</v>
      </c>
      <c r="O8" t="s">
        <v>278</v>
      </c>
      <c r="P8" t="s">
        <v>278</v>
      </c>
      <c r="Q8">
        <v>1</v>
      </c>
      <c r="W8">
        <v>0</v>
      </c>
      <c r="X8">
        <v>946207192</v>
      </c>
      <c r="Y8">
        <v>18.63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1</v>
      </c>
      <c r="AJ8">
        <v>1</v>
      </c>
      <c r="AK8">
        <v>1</v>
      </c>
      <c r="AL8">
        <v>1</v>
      </c>
      <c r="AN8">
        <v>0</v>
      </c>
      <c r="AO8">
        <v>1</v>
      </c>
      <c r="AP8">
        <v>1</v>
      </c>
      <c r="AQ8">
        <v>0</v>
      </c>
      <c r="AR8">
        <v>0</v>
      </c>
      <c r="AS8" t="s">
        <v>3</v>
      </c>
      <c r="AT8">
        <v>16.2</v>
      </c>
      <c r="AU8" t="s">
        <v>47</v>
      </c>
      <c r="AV8">
        <v>1</v>
      </c>
      <c r="AW8">
        <v>2</v>
      </c>
      <c r="AX8">
        <v>90165055</v>
      </c>
      <c r="AY8">
        <v>1</v>
      </c>
      <c r="AZ8">
        <v>0</v>
      </c>
      <c r="BA8">
        <v>6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CX8">
        <f>Y8*Source!I34</f>
        <v>260.82</v>
      </c>
      <c r="CY8">
        <f>AD8</f>
        <v>0</v>
      </c>
      <c r="CZ8">
        <f>AH8</f>
        <v>0</v>
      </c>
      <c r="DA8">
        <f>AL8</f>
        <v>1</v>
      </c>
      <c r="DB8">
        <v>0</v>
      </c>
    </row>
    <row r="9" spans="1:106" x14ac:dyDescent="0.2">
      <c r="A9">
        <f>ROW(Source!A34)</f>
        <v>34</v>
      </c>
      <c r="B9">
        <v>90163004</v>
      </c>
      <c r="C9">
        <v>90163326</v>
      </c>
      <c r="D9">
        <v>7231136</v>
      </c>
      <c r="E9">
        <v>1</v>
      </c>
      <c r="F9">
        <v>1</v>
      </c>
      <c r="G9">
        <v>7157832</v>
      </c>
      <c r="H9">
        <v>2</v>
      </c>
      <c r="I9" t="s">
        <v>283</v>
      </c>
      <c r="J9" t="s">
        <v>284</v>
      </c>
      <c r="K9" t="s">
        <v>285</v>
      </c>
      <c r="L9">
        <v>1368</v>
      </c>
      <c r="N9">
        <v>1011</v>
      </c>
      <c r="O9" t="s">
        <v>286</v>
      </c>
      <c r="P9" t="s">
        <v>286</v>
      </c>
      <c r="Q9">
        <v>1</v>
      </c>
      <c r="W9">
        <v>0</v>
      </c>
      <c r="X9">
        <v>-1550519899</v>
      </c>
      <c r="Y9">
        <v>0.32200000000000001</v>
      </c>
      <c r="AA9">
        <v>0</v>
      </c>
      <c r="AB9">
        <v>13.87</v>
      </c>
      <c r="AC9">
        <v>0.75</v>
      </c>
      <c r="AD9">
        <v>0</v>
      </c>
      <c r="AE9">
        <v>0</v>
      </c>
      <c r="AF9">
        <v>4.71</v>
      </c>
      <c r="AG9">
        <v>0.04</v>
      </c>
      <c r="AH9">
        <v>0</v>
      </c>
      <c r="AI9">
        <v>1</v>
      </c>
      <c r="AJ9">
        <v>2.76</v>
      </c>
      <c r="AK9">
        <v>17.46</v>
      </c>
      <c r="AL9">
        <v>1</v>
      </c>
      <c r="AN9">
        <v>0</v>
      </c>
      <c r="AO9">
        <v>1</v>
      </c>
      <c r="AP9">
        <v>1</v>
      </c>
      <c r="AQ9">
        <v>0</v>
      </c>
      <c r="AR9">
        <v>0</v>
      </c>
      <c r="AS9" t="s">
        <v>3</v>
      </c>
      <c r="AT9">
        <v>0.28000000000000003</v>
      </c>
      <c r="AU9" t="s">
        <v>47</v>
      </c>
      <c r="AV9">
        <v>0</v>
      </c>
      <c r="AW9">
        <v>2</v>
      </c>
      <c r="AX9">
        <v>90165056</v>
      </c>
      <c r="AY9">
        <v>1</v>
      </c>
      <c r="AZ9">
        <v>0</v>
      </c>
      <c r="BA9">
        <v>7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CX9">
        <f>Y9*Source!I34</f>
        <v>4.508</v>
      </c>
      <c r="CY9">
        <f>AB9</f>
        <v>13.87</v>
      </c>
      <c r="CZ9">
        <f>AF9</f>
        <v>4.71</v>
      </c>
      <c r="DA9">
        <f>AJ9</f>
        <v>2.76</v>
      </c>
      <c r="DB9">
        <v>0</v>
      </c>
    </row>
    <row r="10" spans="1:106" x14ac:dyDescent="0.2">
      <c r="A10">
        <f>ROW(Source!A34)</f>
        <v>34</v>
      </c>
      <c r="B10">
        <v>90163004</v>
      </c>
      <c r="C10">
        <v>90163326</v>
      </c>
      <c r="D10">
        <v>7231215</v>
      </c>
      <c r="E10">
        <v>1</v>
      </c>
      <c r="F10">
        <v>1</v>
      </c>
      <c r="G10">
        <v>7157832</v>
      </c>
      <c r="H10">
        <v>2</v>
      </c>
      <c r="I10" t="s">
        <v>287</v>
      </c>
      <c r="J10" t="s">
        <v>288</v>
      </c>
      <c r="K10" t="s">
        <v>289</v>
      </c>
      <c r="L10">
        <v>1368</v>
      </c>
      <c r="N10">
        <v>1011</v>
      </c>
      <c r="O10" t="s">
        <v>286</v>
      </c>
      <c r="P10" t="s">
        <v>286</v>
      </c>
      <c r="Q10">
        <v>1</v>
      </c>
      <c r="W10">
        <v>0</v>
      </c>
      <c r="X10">
        <v>643218815</v>
      </c>
      <c r="Y10">
        <v>0.89699999999999991</v>
      </c>
      <c r="AA10">
        <v>0</v>
      </c>
      <c r="AB10">
        <v>283.39999999999998</v>
      </c>
      <c r="AC10">
        <v>49.93</v>
      </c>
      <c r="AD10">
        <v>0</v>
      </c>
      <c r="AE10">
        <v>0</v>
      </c>
      <c r="AF10">
        <v>43.4</v>
      </c>
      <c r="AG10">
        <v>2.68</v>
      </c>
      <c r="AH10">
        <v>0</v>
      </c>
      <c r="AI10">
        <v>1</v>
      </c>
      <c r="AJ10">
        <v>6.12</v>
      </c>
      <c r="AK10">
        <v>17.46</v>
      </c>
      <c r="AL10">
        <v>1</v>
      </c>
      <c r="AN10">
        <v>0</v>
      </c>
      <c r="AO10">
        <v>1</v>
      </c>
      <c r="AP10">
        <v>1</v>
      </c>
      <c r="AQ10">
        <v>0</v>
      </c>
      <c r="AR10">
        <v>0</v>
      </c>
      <c r="AS10" t="s">
        <v>3</v>
      </c>
      <c r="AT10">
        <v>0.78</v>
      </c>
      <c r="AU10" t="s">
        <v>47</v>
      </c>
      <c r="AV10">
        <v>0</v>
      </c>
      <c r="AW10">
        <v>2</v>
      </c>
      <c r="AX10">
        <v>90165057</v>
      </c>
      <c r="AY10">
        <v>1</v>
      </c>
      <c r="AZ10">
        <v>0</v>
      </c>
      <c r="BA10">
        <v>8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  <c r="BS10">
        <v>0</v>
      </c>
      <c r="BT10">
        <v>0</v>
      </c>
      <c r="BU10">
        <v>0</v>
      </c>
      <c r="BV10">
        <v>0</v>
      </c>
      <c r="BW10">
        <v>0</v>
      </c>
      <c r="CX10">
        <f>Y10*Source!I34</f>
        <v>12.557999999999998</v>
      </c>
      <c r="CY10">
        <f>AB10</f>
        <v>283.39999999999998</v>
      </c>
      <c r="CZ10">
        <f>AF10</f>
        <v>43.4</v>
      </c>
      <c r="DA10">
        <f>AJ10</f>
        <v>6.12</v>
      </c>
      <c r="DB10">
        <v>0</v>
      </c>
    </row>
    <row r="11" spans="1:106" x14ac:dyDescent="0.2">
      <c r="A11">
        <f>ROW(Source!A34)</f>
        <v>34</v>
      </c>
      <c r="B11">
        <v>90163004</v>
      </c>
      <c r="C11">
        <v>90163326</v>
      </c>
      <c r="D11">
        <v>7231377</v>
      </c>
      <c r="E11">
        <v>1</v>
      </c>
      <c r="F11">
        <v>1</v>
      </c>
      <c r="G11">
        <v>7157832</v>
      </c>
      <c r="H11">
        <v>2</v>
      </c>
      <c r="I11" t="s">
        <v>290</v>
      </c>
      <c r="J11" t="s">
        <v>291</v>
      </c>
      <c r="K11" t="s">
        <v>292</v>
      </c>
      <c r="L11">
        <v>1368</v>
      </c>
      <c r="N11">
        <v>1011</v>
      </c>
      <c r="O11" t="s">
        <v>286</v>
      </c>
      <c r="P11" t="s">
        <v>286</v>
      </c>
      <c r="Q11">
        <v>1</v>
      </c>
      <c r="W11">
        <v>0</v>
      </c>
      <c r="X11">
        <v>-1204025051</v>
      </c>
      <c r="Y11">
        <v>0.32200000000000001</v>
      </c>
      <c r="AA11">
        <v>0</v>
      </c>
      <c r="AB11">
        <v>12.31</v>
      </c>
      <c r="AC11">
        <v>3.35</v>
      </c>
      <c r="AD11">
        <v>0</v>
      </c>
      <c r="AE11">
        <v>0</v>
      </c>
      <c r="AF11">
        <v>3.71</v>
      </c>
      <c r="AG11">
        <v>0.18</v>
      </c>
      <c r="AH11">
        <v>0</v>
      </c>
      <c r="AI11">
        <v>1</v>
      </c>
      <c r="AJ11">
        <v>3.11</v>
      </c>
      <c r="AK11">
        <v>17.46</v>
      </c>
      <c r="AL11">
        <v>1</v>
      </c>
      <c r="AN11">
        <v>0</v>
      </c>
      <c r="AO11">
        <v>1</v>
      </c>
      <c r="AP11">
        <v>1</v>
      </c>
      <c r="AQ11">
        <v>0</v>
      </c>
      <c r="AR11">
        <v>0</v>
      </c>
      <c r="AS11" t="s">
        <v>3</v>
      </c>
      <c r="AT11">
        <v>0.28000000000000003</v>
      </c>
      <c r="AU11" t="s">
        <v>47</v>
      </c>
      <c r="AV11">
        <v>0</v>
      </c>
      <c r="AW11">
        <v>2</v>
      </c>
      <c r="AX11">
        <v>90165058</v>
      </c>
      <c r="AY11">
        <v>1</v>
      </c>
      <c r="AZ11">
        <v>0</v>
      </c>
      <c r="BA11">
        <v>9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  <c r="BS11">
        <v>0</v>
      </c>
      <c r="BT11">
        <v>0</v>
      </c>
      <c r="BU11">
        <v>0</v>
      </c>
      <c r="BV11">
        <v>0</v>
      </c>
      <c r="BW11">
        <v>0</v>
      </c>
      <c r="CX11">
        <f>Y11*Source!I34</f>
        <v>4.508</v>
      </c>
      <c r="CY11">
        <f>AB11</f>
        <v>12.31</v>
      </c>
      <c r="CZ11">
        <f>AF11</f>
        <v>3.71</v>
      </c>
      <c r="DA11">
        <f>AJ11</f>
        <v>3.11</v>
      </c>
      <c r="DB11">
        <v>0</v>
      </c>
    </row>
    <row r="12" spans="1:106" x14ac:dyDescent="0.2">
      <c r="A12">
        <f>ROW(Source!A34)</f>
        <v>34</v>
      </c>
      <c r="B12">
        <v>90163004</v>
      </c>
      <c r="C12">
        <v>90163326</v>
      </c>
      <c r="D12">
        <v>7231421</v>
      </c>
      <c r="E12">
        <v>1</v>
      </c>
      <c r="F12">
        <v>1</v>
      </c>
      <c r="G12">
        <v>7157832</v>
      </c>
      <c r="H12">
        <v>2</v>
      </c>
      <c r="I12" t="s">
        <v>293</v>
      </c>
      <c r="J12" t="s">
        <v>294</v>
      </c>
      <c r="K12" t="s">
        <v>295</v>
      </c>
      <c r="L12">
        <v>1368</v>
      </c>
      <c r="N12">
        <v>1011</v>
      </c>
      <c r="O12" t="s">
        <v>286</v>
      </c>
      <c r="P12" t="s">
        <v>286</v>
      </c>
      <c r="Q12">
        <v>1</v>
      </c>
      <c r="W12">
        <v>0</v>
      </c>
      <c r="X12">
        <v>-1289262214</v>
      </c>
      <c r="Y12">
        <v>0.57499999999999996</v>
      </c>
      <c r="AA12">
        <v>0</v>
      </c>
      <c r="AB12">
        <v>717.23</v>
      </c>
      <c r="AC12">
        <v>327.7</v>
      </c>
      <c r="AD12">
        <v>0</v>
      </c>
      <c r="AE12">
        <v>0</v>
      </c>
      <c r="AF12">
        <v>74.44</v>
      </c>
      <c r="AG12">
        <v>17.59</v>
      </c>
      <c r="AH12">
        <v>0</v>
      </c>
      <c r="AI12">
        <v>1</v>
      </c>
      <c r="AJ12">
        <v>9.0299999999999994</v>
      </c>
      <c r="AK12">
        <v>17.46</v>
      </c>
      <c r="AL12">
        <v>1</v>
      </c>
      <c r="AN12">
        <v>0</v>
      </c>
      <c r="AO12">
        <v>1</v>
      </c>
      <c r="AP12">
        <v>1</v>
      </c>
      <c r="AQ12">
        <v>0</v>
      </c>
      <c r="AR12">
        <v>0</v>
      </c>
      <c r="AS12" t="s">
        <v>3</v>
      </c>
      <c r="AT12">
        <v>0.5</v>
      </c>
      <c r="AU12" t="s">
        <v>47</v>
      </c>
      <c r="AV12">
        <v>0</v>
      </c>
      <c r="AW12">
        <v>2</v>
      </c>
      <c r="AX12">
        <v>90165059</v>
      </c>
      <c r="AY12">
        <v>1</v>
      </c>
      <c r="AZ12">
        <v>0</v>
      </c>
      <c r="BA12">
        <v>10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>
        <v>0</v>
      </c>
      <c r="BU12">
        <v>0</v>
      </c>
      <c r="BV12">
        <v>0</v>
      </c>
      <c r="BW12">
        <v>0</v>
      </c>
      <c r="CX12">
        <f>Y12*Source!I34</f>
        <v>8.0499999999999989</v>
      </c>
      <c r="CY12">
        <f>AB12</f>
        <v>717.23</v>
      </c>
      <c r="CZ12">
        <f>AF12</f>
        <v>74.44</v>
      </c>
      <c r="DA12">
        <f>AJ12</f>
        <v>9.0299999999999994</v>
      </c>
      <c r="DB12">
        <v>0</v>
      </c>
    </row>
    <row r="13" spans="1:106" x14ac:dyDescent="0.2">
      <c r="A13">
        <f>ROW(Source!A34)</f>
        <v>34</v>
      </c>
      <c r="B13">
        <v>90163004</v>
      </c>
      <c r="C13">
        <v>90163326</v>
      </c>
      <c r="D13">
        <v>7231445</v>
      </c>
      <c r="E13">
        <v>1</v>
      </c>
      <c r="F13">
        <v>1</v>
      </c>
      <c r="G13">
        <v>7157832</v>
      </c>
      <c r="H13">
        <v>2</v>
      </c>
      <c r="I13" t="s">
        <v>296</v>
      </c>
      <c r="J13" t="s">
        <v>297</v>
      </c>
      <c r="K13" t="s">
        <v>298</v>
      </c>
      <c r="L13">
        <v>1368</v>
      </c>
      <c r="N13">
        <v>1011</v>
      </c>
      <c r="O13" t="s">
        <v>286</v>
      </c>
      <c r="P13" t="s">
        <v>286</v>
      </c>
      <c r="Q13">
        <v>1</v>
      </c>
      <c r="W13">
        <v>0</v>
      </c>
      <c r="X13">
        <v>-2116432898</v>
      </c>
      <c r="Y13">
        <v>0.5635</v>
      </c>
      <c r="AA13">
        <v>0</v>
      </c>
      <c r="AB13">
        <v>27.3</v>
      </c>
      <c r="AC13">
        <v>1.86</v>
      </c>
      <c r="AD13">
        <v>0</v>
      </c>
      <c r="AE13">
        <v>0</v>
      </c>
      <c r="AF13">
        <v>2.36</v>
      </c>
      <c r="AG13">
        <v>0.1</v>
      </c>
      <c r="AH13">
        <v>0</v>
      </c>
      <c r="AI13">
        <v>1</v>
      </c>
      <c r="AJ13">
        <v>10.84</v>
      </c>
      <c r="AK13">
        <v>17.46</v>
      </c>
      <c r="AL13">
        <v>1</v>
      </c>
      <c r="AN13">
        <v>0</v>
      </c>
      <c r="AO13">
        <v>1</v>
      </c>
      <c r="AP13">
        <v>1</v>
      </c>
      <c r="AQ13">
        <v>0</v>
      </c>
      <c r="AR13">
        <v>0</v>
      </c>
      <c r="AS13" t="s">
        <v>3</v>
      </c>
      <c r="AT13">
        <v>0.49</v>
      </c>
      <c r="AU13" t="s">
        <v>47</v>
      </c>
      <c r="AV13">
        <v>0</v>
      </c>
      <c r="AW13">
        <v>2</v>
      </c>
      <c r="AX13">
        <v>90165060</v>
      </c>
      <c r="AY13">
        <v>1</v>
      </c>
      <c r="AZ13">
        <v>0</v>
      </c>
      <c r="BA13">
        <v>11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CX13">
        <f>Y13*Source!I34</f>
        <v>7.8890000000000002</v>
      </c>
      <c r="CY13">
        <f>AB13</f>
        <v>27.3</v>
      </c>
      <c r="CZ13">
        <f>AF13</f>
        <v>2.36</v>
      </c>
      <c r="DA13">
        <f>AJ13</f>
        <v>10.84</v>
      </c>
      <c r="DB13">
        <v>0</v>
      </c>
    </row>
    <row r="14" spans="1:106" x14ac:dyDescent="0.2">
      <c r="A14">
        <f>ROW(Source!A34)</f>
        <v>34</v>
      </c>
      <c r="B14">
        <v>90163004</v>
      </c>
      <c r="C14">
        <v>90163326</v>
      </c>
      <c r="D14">
        <v>7233129</v>
      </c>
      <c r="E14">
        <v>1</v>
      </c>
      <c r="F14">
        <v>1</v>
      </c>
      <c r="G14">
        <v>7157832</v>
      </c>
      <c r="H14">
        <v>3</v>
      </c>
      <c r="I14" t="s">
        <v>299</v>
      </c>
      <c r="J14" t="s">
        <v>300</v>
      </c>
      <c r="K14" t="s">
        <v>301</v>
      </c>
      <c r="L14">
        <v>1327</v>
      </c>
      <c r="N14">
        <v>1005</v>
      </c>
      <c r="O14" t="s">
        <v>151</v>
      </c>
      <c r="P14" t="s">
        <v>151</v>
      </c>
      <c r="Q14">
        <v>1</v>
      </c>
      <c r="W14">
        <v>0</v>
      </c>
      <c r="X14">
        <v>937052062</v>
      </c>
      <c r="Y14">
        <v>0.17</v>
      </c>
      <c r="AA14">
        <v>165.86</v>
      </c>
      <c r="AB14">
        <v>0</v>
      </c>
      <c r="AC14">
        <v>0</v>
      </c>
      <c r="AD14">
        <v>0</v>
      </c>
      <c r="AE14">
        <v>104</v>
      </c>
      <c r="AF14">
        <v>0</v>
      </c>
      <c r="AG14">
        <v>0</v>
      </c>
      <c r="AH14">
        <v>0</v>
      </c>
      <c r="AI14">
        <v>1.59</v>
      </c>
      <c r="AJ14">
        <v>1</v>
      </c>
      <c r="AK14">
        <v>1</v>
      </c>
      <c r="AL14">
        <v>1</v>
      </c>
      <c r="AN14">
        <v>0</v>
      </c>
      <c r="AO14">
        <v>1</v>
      </c>
      <c r="AP14">
        <v>0</v>
      </c>
      <c r="AQ14">
        <v>0</v>
      </c>
      <c r="AR14">
        <v>0</v>
      </c>
      <c r="AS14" t="s">
        <v>3</v>
      </c>
      <c r="AT14">
        <v>0.17</v>
      </c>
      <c r="AU14" t="s">
        <v>3</v>
      </c>
      <c r="AV14">
        <v>0</v>
      </c>
      <c r="AW14">
        <v>2</v>
      </c>
      <c r="AX14">
        <v>90165061</v>
      </c>
      <c r="AY14">
        <v>1</v>
      </c>
      <c r="AZ14">
        <v>0</v>
      </c>
      <c r="BA14">
        <v>12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CX14">
        <f>Y14*Source!I34</f>
        <v>2.3800000000000003</v>
      </c>
      <c r="CY14">
        <f>AA14</f>
        <v>165.86</v>
      </c>
      <c r="CZ14">
        <f>AE14</f>
        <v>104</v>
      </c>
      <c r="DA14">
        <f>AI14</f>
        <v>1.59</v>
      </c>
      <c r="DB14">
        <v>0</v>
      </c>
    </row>
    <row r="15" spans="1:106" x14ac:dyDescent="0.2">
      <c r="A15">
        <f>ROW(Source!A34)</f>
        <v>34</v>
      </c>
      <c r="B15">
        <v>90163004</v>
      </c>
      <c r="C15">
        <v>90163326</v>
      </c>
      <c r="D15">
        <v>7164370</v>
      </c>
      <c r="E15">
        <v>7157832</v>
      </c>
      <c r="F15">
        <v>1</v>
      </c>
      <c r="G15">
        <v>7157832</v>
      </c>
      <c r="H15">
        <v>3</v>
      </c>
      <c r="I15" t="s">
        <v>302</v>
      </c>
      <c r="J15" t="s">
        <v>3</v>
      </c>
      <c r="K15" t="s">
        <v>303</v>
      </c>
      <c r="L15">
        <v>1346</v>
      </c>
      <c r="N15">
        <v>1009</v>
      </c>
      <c r="O15" t="s">
        <v>304</v>
      </c>
      <c r="P15" t="s">
        <v>304</v>
      </c>
      <c r="Q15">
        <v>1</v>
      </c>
      <c r="W15">
        <v>0</v>
      </c>
      <c r="X15">
        <v>-7527782</v>
      </c>
      <c r="Y15">
        <v>0.26</v>
      </c>
      <c r="AA15">
        <v>9.59</v>
      </c>
      <c r="AB15">
        <v>0</v>
      </c>
      <c r="AC15">
        <v>0</v>
      </c>
      <c r="AD15">
        <v>0</v>
      </c>
      <c r="AE15">
        <v>9.5604999999999993</v>
      </c>
      <c r="AF15">
        <v>0</v>
      </c>
      <c r="AG15">
        <v>0</v>
      </c>
      <c r="AH15">
        <v>0</v>
      </c>
      <c r="AI15">
        <v>1</v>
      </c>
      <c r="AJ15">
        <v>1</v>
      </c>
      <c r="AK15">
        <v>1</v>
      </c>
      <c r="AL15">
        <v>1</v>
      </c>
      <c r="AN15">
        <v>0</v>
      </c>
      <c r="AO15">
        <v>1</v>
      </c>
      <c r="AP15">
        <v>0</v>
      </c>
      <c r="AQ15">
        <v>0</v>
      </c>
      <c r="AR15">
        <v>0</v>
      </c>
      <c r="AS15" t="s">
        <v>3</v>
      </c>
      <c r="AT15">
        <v>0.26</v>
      </c>
      <c r="AU15" t="s">
        <v>3</v>
      </c>
      <c r="AV15">
        <v>0</v>
      </c>
      <c r="AW15">
        <v>2</v>
      </c>
      <c r="AX15">
        <v>90165063</v>
      </c>
      <c r="AY15">
        <v>1</v>
      </c>
      <c r="AZ15">
        <v>0</v>
      </c>
      <c r="BA15">
        <v>13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CX15">
        <f>Y15*Source!I34</f>
        <v>3.64</v>
      </c>
      <c r="CY15">
        <f>AA15</f>
        <v>9.59</v>
      </c>
      <c r="CZ15">
        <f>AE15</f>
        <v>9.5604999999999993</v>
      </c>
      <c r="DA15">
        <f>AI15</f>
        <v>1</v>
      </c>
      <c r="DB15">
        <v>0</v>
      </c>
    </row>
    <row r="16" spans="1:106" x14ac:dyDescent="0.2">
      <c r="A16">
        <f>ROW(Source!A34)</f>
        <v>34</v>
      </c>
      <c r="B16">
        <v>90163004</v>
      </c>
      <c r="C16">
        <v>90163326</v>
      </c>
      <c r="D16">
        <v>7232664</v>
      </c>
      <c r="E16">
        <v>1</v>
      </c>
      <c r="F16">
        <v>1</v>
      </c>
      <c r="G16">
        <v>7157832</v>
      </c>
      <c r="H16">
        <v>3</v>
      </c>
      <c r="I16" t="s">
        <v>305</v>
      </c>
      <c r="J16" t="s">
        <v>306</v>
      </c>
      <c r="K16" t="s">
        <v>307</v>
      </c>
      <c r="L16">
        <v>1339</v>
      </c>
      <c r="N16">
        <v>1007</v>
      </c>
      <c r="O16" t="s">
        <v>30</v>
      </c>
      <c r="P16" t="s">
        <v>30</v>
      </c>
      <c r="Q16">
        <v>1</v>
      </c>
      <c r="W16">
        <v>0</v>
      </c>
      <c r="X16">
        <v>-2082799898</v>
      </c>
      <c r="Y16">
        <v>6.7000000000000002E-4</v>
      </c>
      <c r="AA16">
        <v>62.05</v>
      </c>
      <c r="AB16">
        <v>0</v>
      </c>
      <c r="AC16">
        <v>0</v>
      </c>
      <c r="AD16">
        <v>0</v>
      </c>
      <c r="AE16">
        <v>5.67</v>
      </c>
      <c r="AF16">
        <v>0</v>
      </c>
      <c r="AG16">
        <v>0</v>
      </c>
      <c r="AH16">
        <v>0</v>
      </c>
      <c r="AI16">
        <v>10.91</v>
      </c>
      <c r="AJ16">
        <v>1</v>
      </c>
      <c r="AK16">
        <v>1</v>
      </c>
      <c r="AL16">
        <v>1</v>
      </c>
      <c r="AN16">
        <v>0</v>
      </c>
      <c r="AO16">
        <v>1</v>
      </c>
      <c r="AP16">
        <v>0</v>
      </c>
      <c r="AQ16">
        <v>0</v>
      </c>
      <c r="AR16">
        <v>0</v>
      </c>
      <c r="AS16" t="s">
        <v>3</v>
      </c>
      <c r="AT16">
        <v>6.7000000000000002E-4</v>
      </c>
      <c r="AU16" t="s">
        <v>3</v>
      </c>
      <c r="AV16">
        <v>0</v>
      </c>
      <c r="AW16">
        <v>2</v>
      </c>
      <c r="AX16">
        <v>90165062</v>
      </c>
      <c r="AY16">
        <v>1</v>
      </c>
      <c r="AZ16">
        <v>0</v>
      </c>
      <c r="BA16">
        <v>14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CX16">
        <f>Y16*Source!I34</f>
        <v>9.3799999999999994E-3</v>
      </c>
      <c r="CY16">
        <f>AA16</f>
        <v>62.05</v>
      </c>
      <c r="CZ16">
        <f>AE16</f>
        <v>5.67</v>
      </c>
      <c r="DA16">
        <f>AI16</f>
        <v>10.91</v>
      </c>
      <c r="DB16">
        <v>0</v>
      </c>
    </row>
    <row r="17" spans="1:106" x14ac:dyDescent="0.2">
      <c r="A17">
        <f>ROW(Source!A34)</f>
        <v>34</v>
      </c>
      <c r="B17">
        <v>90163004</v>
      </c>
      <c r="C17">
        <v>90163326</v>
      </c>
      <c r="D17">
        <v>7241065</v>
      </c>
      <c r="E17">
        <v>1</v>
      </c>
      <c r="F17">
        <v>1</v>
      </c>
      <c r="G17">
        <v>7157832</v>
      </c>
      <c r="H17">
        <v>3</v>
      </c>
      <c r="I17" t="s">
        <v>56</v>
      </c>
      <c r="J17" t="s">
        <v>59</v>
      </c>
      <c r="K17" t="s">
        <v>57</v>
      </c>
      <c r="L17">
        <v>1035</v>
      </c>
      <c r="N17">
        <v>1013</v>
      </c>
      <c r="O17" t="s">
        <v>58</v>
      </c>
      <c r="P17" t="s">
        <v>58</v>
      </c>
      <c r="Q17">
        <v>1</v>
      </c>
      <c r="W17">
        <v>0</v>
      </c>
      <c r="X17">
        <v>-2048192663</v>
      </c>
      <c r="Y17">
        <v>1</v>
      </c>
      <c r="AA17">
        <v>3988.44</v>
      </c>
      <c r="AB17">
        <v>0</v>
      </c>
      <c r="AC17">
        <v>0</v>
      </c>
      <c r="AD17">
        <v>0</v>
      </c>
      <c r="AE17">
        <v>2060.37</v>
      </c>
      <c r="AF17">
        <v>0</v>
      </c>
      <c r="AG17">
        <v>0</v>
      </c>
      <c r="AH17">
        <v>0</v>
      </c>
      <c r="AI17">
        <v>1.93</v>
      </c>
      <c r="AJ17">
        <v>1</v>
      </c>
      <c r="AK17">
        <v>1</v>
      </c>
      <c r="AL17">
        <v>1</v>
      </c>
      <c r="AN17">
        <v>0</v>
      </c>
      <c r="AO17">
        <v>0</v>
      </c>
      <c r="AP17">
        <v>1</v>
      </c>
      <c r="AQ17">
        <v>0</v>
      </c>
      <c r="AR17">
        <v>0</v>
      </c>
      <c r="AS17" t="s">
        <v>3</v>
      </c>
      <c r="AT17">
        <v>1</v>
      </c>
      <c r="AU17" t="s">
        <v>3</v>
      </c>
      <c r="AV17">
        <v>0</v>
      </c>
      <c r="AW17">
        <v>1</v>
      </c>
      <c r="AX17">
        <v>-1</v>
      </c>
      <c r="AY17">
        <v>0</v>
      </c>
      <c r="AZ17">
        <v>0</v>
      </c>
      <c r="BA17" t="s">
        <v>3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CX17">
        <f>Y17*Source!I34</f>
        <v>14</v>
      </c>
      <c r="CY17">
        <f>AA17</f>
        <v>3988.44</v>
      </c>
      <c r="CZ17">
        <f>AE17</f>
        <v>2060.37</v>
      </c>
      <c r="DA17">
        <f>AI17</f>
        <v>1.93</v>
      </c>
      <c r="DB17">
        <v>0</v>
      </c>
    </row>
    <row r="18" spans="1:106" x14ac:dyDescent="0.2">
      <c r="A18">
        <f>ROW(Source!A36)</f>
        <v>36</v>
      </c>
      <c r="B18">
        <v>90163004</v>
      </c>
      <c r="C18">
        <v>90163348</v>
      </c>
      <c r="D18">
        <v>7157835</v>
      </c>
      <c r="E18">
        <v>7157832</v>
      </c>
      <c r="F18">
        <v>1</v>
      </c>
      <c r="G18">
        <v>7157832</v>
      </c>
      <c r="H18">
        <v>1</v>
      </c>
      <c r="I18" t="s">
        <v>276</v>
      </c>
      <c r="J18" t="s">
        <v>3</v>
      </c>
      <c r="K18" t="s">
        <v>277</v>
      </c>
      <c r="L18">
        <v>1191</v>
      </c>
      <c r="N18">
        <v>1013</v>
      </c>
      <c r="O18" t="s">
        <v>278</v>
      </c>
      <c r="P18" t="s">
        <v>278</v>
      </c>
      <c r="Q18">
        <v>1</v>
      </c>
      <c r="W18">
        <v>0</v>
      </c>
      <c r="X18">
        <v>946207192</v>
      </c>
      <c r="Y18">
        <v>1.38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1</v>
      </c>
      <c r="AJ18">
        <v>1</v>
      </c>
      <c r="AK18">
        <v>1</v>
      </c>
      <c r="AL18">
        <v>1</v>
      </c>
      <c r="AN18">
        <v>0</v>
      </c>
      <c r="AO18">
        <v>1</v>
      </c>
      <c r="AP18">
        <v>1</v>
      </c>
      <c r="AQ18">
        <v>0</v>
      </c>
      <c r="AR18">
        <v>0</v>
      </c>
      <c r="AS18" t="s">
        <v>3</v>
      </c>
      <c r="AT18">
        <v>1.38</v>
      </c>
      <c r="AU18" t="s">
        <v>3</v>
      </c>
      <c r="AV18">
        <v>1</v>
      </c>
      <c r="AW18">
        <v>2</v>
      </c>
      <c r="AX18">
        <v>90163352</v>
      </c>
      <c r="AY18">
        <v>1</v>
      </c>
      <c r="AZ18">
        <v>0</v>
      </c>
      <c r="BA18">
        <v>16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CX18">
        <f>Y18*Source!I36</f>
        <v>6.9494315999999996</v>
      </c>
      <c r="CY18">
        <f>AD18</f>
        <v>0</v>
      </c>
      <c r="CZ18">
        <f>AH18</f>
        <v>0</v>
      </c>
      <c r="DA18">
        <f>AL18</f>
        <v>1</v>
      </c>
      <c r="DB18">
        <v>0</v>
      </c>
    </row>
    <row r="19" spans="1:106" x14ac:dyDescent="0.2">
      <c r="A19">
        <f>ROW(Source!A36)</f>
        <v>36</v>
      </c>
      <c r="B19">
        <v>90163004</v>
      </c>
      <c r="C19">
        <v>90163348</v>
      </c>
      <c r="D19">
        <v>7230725</v>
      </c>
      <c r="E19">
        <v>1</v>
      </c>
      <c r="F19">
        <v>1</v>
      </c>
      <c r="G19">
        <v>7157832</v>
      </c>
      <c r="H19">
        <v>2</v>
      </c>
      <c r="I19" t="s">
        <v>308</v>
      </c>
      <c r="J19" t="s">
        <v>309</v>
      </c>
      <c r="K19" t="s">
        <v>310</v>
      </c>
      <c r="L19">
        <v>1368</v>
      </c>
      <c r="N19">
        <v>1011</v>
      </c>
      <c r="O19" t="s">
        <v>286</v>
      </c>
      <c r="P19" t="s">
        <v>286</v>
      </c>
      <c r="Q19">
        <v>1</v>
      </c>
      <c r="W19">
        <v>0</v>
      </c>
      <c r="X19">
        <v>419869572</v>
      </c>
      <c r="Y19">
        <v>3.9874999999999998</v>
      </c>
      <c r="AA19">
        <v>0</v>
      </c>
      <c r="AB19">
        <v>1469.28</v>
      </c>
      <c r="AC19">
        <v>595.23</v>
      </c>
      <c r="AD19">
        <v>0</v>
      </c>
      <c r="AE19">
        <v>0</v>
      </c>
      <c r="AF19">
        <v>162.4</v>
      </c>
      <c r="AG19">
        <v>28.6</v>
      </c>
      <c r="AH19">
        <v>0</v>
      </c>
      <c r="AI19">
        <v>1</v>
      </c>
      <c r="AJ19">
        <v>7.59</v>
      </c>
      <c r="AK19">
        <v>17.46</v>
      </c>
      <c r="AL19">
        <v>1</v>
      </c>
      <c r="AN19">
        <v>0</v>
      </c>
      <c r="AO19">
        <v>1</v>
      </c>
      <c r="AP19">
        <v>1</v>
      </c>
      <c r="AQ19">
        <v>0</v>
      </c>
      <c r="AR19">
        <v>0</v>
      </c>
      <c r="AS19" t="s">
        <v>3</v>
      </c>
      <c r="AT19">
        <v>3.9874999999999998</v>
      </c>
      <c r="AU19" t="s">
        <v>3</v>
      </c>
      <c r="AV19">
        <v>0</v>
      </c>
      <c r="AW19">
        <v>2</v>
      </c>
      <c r="AX19">
        <v>90163353</v>
      </c>
      <c r="AY19">
        <v>1</v>
      </c>
      <c r="AZ19">
        <v>0</v>
      </c>
      <c r="BA19">
        <v>17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CX19">
        <f>Y19*Source!I36</f>
        <v>20.080332250000001</v>
      </c>
      <c r="CY19">
        <f>AB19</f>
        <v>1469.28</v>
      </c>
      <c r="CZ19">
        <f>AF19</f>
        <v>162.4</v>
      </c>
      <c r="DA19">
        <f>AJ19</f>
        <v>7.59</v>
      </c>
      <c r="DB19">
        <v>0</v>
      </c>
    </row>
    <row r="20" spans="1:106" x14ac:dyDescent="0.2">
      <c r="A20">
        <f>ROW(Source!A36)</f>
        <v>36</v>
      </c>
      <c r="B20">
        <v>90163004</v>
      </c>
      <c r="C20">
        <v>90163348</v>
      </c>
      <c r="D20">
        <v>7230750</v>
      </c>
      <c r="E20">
        <v>1</v>
      </c>
      <c r="F20">
        <v>1</v>
      </c>
      <c r="G20">
        <v>7157832</v>
      </c>
      <c r="H20">
        <v>2</v>
      </c>
      <c r="I20" t="s">
        <v>311</v>
      </c>
      <c r="J20" t="s">
        <v>312</v>
      </c>
      <c r="K20" t="s">
        <v>313</v>
      </c>
      <c r="L20">
        <v>1368</v>
      </c>
      <c r="N20">
        <v>1011</v>
      </c>
      <c r="O20" t="s">
        <v>286</v>
      </c>
      <c r="P20" t="s">
        <v>286</v>
      </c>
      <c r="Q20">
        <v>1</v>
      </c>
      <c r="W20">
        <v>0</v>
      </c>
      <c r="X20">
        <v>1610179075</v>
      </c>
      <c r="Y20">
        <v>0.997</v>
      </c>
      <c r="AA20">
        <v>0</v>
      </c>
      <c r="AB20">
        <v>909.91</v>
      </c>
      <c r="AC20">
        <v>551.94000000000005</v>
      </c>
      <c r="AD20">
        <v>0</v>
      </c>
      <c r="AE20">
        <v>0</v>
      </c>
      <c r="AF20">
        <v>110.31</v>
      </c>
      <c r="AG20">
        <v>26.52</v>
      </c>
      <c r="AH20">
        <v>0</v>
      </c>
      <c r="AI20">
        <v>1</v>
      </c>
      <c r="AJ20">
        <v>6.92</v>
      </c>
      <c r="AK20">
        <v>17.46</v>
      </c>
      <c r="AL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 t="s">
        <v>3</v>
      </c>
      <c r="AT20">
        <v>0.997</v>
      </c>
      <c r="AU20" t="s">
        <v>3</v>
      </c>
      <c r="AV20">
        <v>0</v>
      </c>
      <c r="AW20">
        <v>2</v>
      </c>
      <c r="AX20">
        <v>90163354</v>
      </c>
      <c r="AY20">
        <v>1</v>
      </c>
      <c r="AZ20">
        <v>0</v>
      </c>
      <c r="BA20">
        <v>18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CX20">
        <f>Y20*Source!I36</f>
        <v>5.0207125399999999</v>
      </c>
      <c r="CY20">
        <f>AB20</f>
        <v>909.91</v>
      </c>
      <c r="CZ20">
        <f>AF20</f>
        <v>110.31</v>
      </c>
      <c r="DA20">
        <f>AJ20</f>
        <v>6.92</v>
      </c>
      <c r="DB20">
        <v>0</v>
      </c>
    </row>
    <row r="21" spans="1:106" x14ac:dyDescent="0.2">
      <c r="A21">
        <f>ROW(Source!A72)</f>
        <v>72</v>
      </c>
      <c r="B21">
        <v>90163004</v>
      </c>
      <c r="C21">
        <v>90163359</v>
      </c>
      <c r="D21">
        <v>7182702</v>
      </c>
      <c r="E21">
        <v>7157832</v>
      </c>
      <c r="F21">
        <v>1</v>
      </c>
      <c r="G21">
        <v>7157832</v>
      </c>
      <c r="H21">
        <v>3</v>
      </c>
      <c r="I21" t="s">
        <v>37</v>
      </c>
      <c r="J21" t="s">
        <v>3</v>
      </c>
      <c r="K21" t="s">
        <v>38</v>
      </c>
      <c r="L21">
        <v>1348</v>
      </c>
      <c r="N21">
        <v>1009</v>
      </c>
      <c r="O21" t="s">
        <v>39</v>
      </c>
      <c r="P21" t="s">
        <v>39</v>
      </c>
      <c r="Q21">
        <v>1000</v>
      </c>
      <c r="W21">
        <v>1</v>
      </c>
      <c r="X21">
        <v>-1541367988</v>
      </c>
      <c r="Y21">
        <v>-9.7999999999999983E-5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1</v>
      </c>
      <c r="AJ21">
        <v>1</v>
      </c>
      <c r="AK21">
        <v>1</v>
      </c>
      <c r="AL21">
        <v>1</v>
      </c>
      <c r="AN21">
        <v>0</v>
      </c>
      <c r="AO21">
        <v>1</v>
      </c>
      <c r="AP21">
        <v>1</v>
      </c>
      <c r="AQ21">
        <v>0</v>
      </c>
      <c r="AR21">
        <v>0</v>
      </c>
      <c r="AS21" t="s">
        <v>3</v>
      </c>
      <c r="AT21">
        <v>-1.3999999999999999E-4</v>
      </c>
      <c r="AU21" t="s">
        <v>142</v>
      </c>
      <c r="AV21">
        <v>0</v>
      </c>
      <c r="AW21">
        <v>2</v>
      </c>
      <c r="AX21">
        <v>90163362</v>
      </c>
      <c r="AY21">
        <v>1</v>
      </c>
      <c r="AZ21">
        <v>6144</v>
      </c>
      <c r="BA21">
        <v>19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CX21">
        <f>Y21*Source!I72</f>
        <v>-5.8799999999999989E-3</v>
      </c>
      <c r="CY21">
        <f>AA21</f>
        <v>0</v>
      </c>
      <c r="CZ21">
        <f>AE21</f>
        <v>0</v>
      </c>
      <c r="DA21">
        <f>AI21</f>
        <v>1</v>
      </c>
      <c r="DB21">
        <v>0</v>
      </c>
    </row>
    <row r="22" spans="1:106" x14ac:dyDescent="0.2">
      <c r="A22">
        <f>ROW(Source!A72)</f>
        <v>72</v>
      </c>
      <c r="B22">
        <v>90163004</v>
      </c>
      <c r="C22">
        <v>90163359</v>
      </c>
      <c r="D22">
        <v>7182705</v>
      </c>
      <c r="E22">
        <v>7157832</v>
      </c>
      <c r="F22">
        <v>1</v>
      </c>
      <c r="G22">
        <v>7157832</v>
      </c>
      <c r="H22">
        <v>3</v>
      </c>
      <c r="I22" t="s">
        <v>37</v>
      </c>
      <c r="J22" t="s">
        <v>3</v>
      </c>
      <c r="K22" t="s">
        <v>41</v>
      </c>
      <c r="L22">
        <v>1339</v>
      </c>
      <c r="N22">
        <v>1007</v>
      </c>
      <c r="O22" t="s">
        <v>30</v>
      </c>
      <c r="P22" t="s">
        <v>30</v>
      </c>
      <c r="Q22">
        <v>1</v>
      </c>
      <c r="W22">
        <v>1</v>
      </c>
      <c r="X22">
        <v>-589967668</v>
      </c>
      <c r="Y22">
        <v>-0.61305999999999994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1</v>
      </c>
      <c r="AJ22">
        <v>1</v>
      </c>
      <c r="AK22">
        <v>1</v>
      </c>
      <c r="AL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 t="s">
        <v>3</v>
      </c>
      <c r="AT22">
        <v>-0.87580000000000002</v>
      </c>
      <c r="AU22" t="s">
        <v>142</v>
      </c>
      <c r="AV22">
        <v>0</v>
      </c>
      <c r="AW22">
        <v>2</v>
      </c>
      <c r="AX22">
        <v>90163363</v>
      </c>
      <c r="AY22">
        <v>1</v>
      </c>
      <c r="AZ22">
        <v>6144</v>
      </c>
      <c r="BA22">
        <v>20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CX22">
        <f>Y22*Source!I72</f>
        <v>-36.783599999999993</v>
      </c>
      <c r="CY22">
        <f>AA22</f>
        <v>0</v>
      </c>
      <c r="CZ22">
        <f>AE22</f>
        <v>0</v>
      </c>
      <c r="DA22">
        <f>AI22</f>
        <v>1</v>
      </c>
      <c r="DB22">
        <v>0</v>
      </c>
    </row>
    <row r="23" spans="1:106" x14ac:dyDescent="0.2">
      <c r="A23">
        <f>ROW(Source!A75)</f>
        <v>75</v>
      </c>
      <c r="B23">
        <v>90163004</v>
      </c>
      <c r="C23">
        <v>90163366</v>
      </c>
      <c r="D23">
        <v>7157835</v>
      </c>
      <c r="E23">
        <v>7157832</v>
      </c>
      <c r="F23">
        <v>1</v>
      </c>
      <c r="G23">
        <v>7157832</v>
      </c>
      <c r="H23">
        <v>1</v>
      </c>
      <c r="I23" t="s">
        <v>276</v>
      </c>
      <c r="J23" t="s">
        <v>3</v>
      </c>
      <c r="K23" t="s">
        <v>277</v>
      </c>
      <c r="L23">
        <v>1191</v>
      </c>
      <c r="N23">
        <v>1013</v>
      </c>
      <c r="O23" t="s">
        <v>278</v>
      </c>
      <c r="P23" t="s">
        <v>278</v>
      </c>
      <c r="Q23">
        <v>1</v>
      </c>
      <c r="W23">
        <v>0</v>
      </c>
      <c r="X23">
        <v>946207192</v>
      </c>
      <c r="Y23">
        <v>3.2084999999999999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1</v>
      </c>
      <c r="AJ23">
        <v>1</v>
      </c>
      <c r="AK23">
        <v>1</v>
      </c>
      <c r="AL23">
        <v>1</v>
      </c>
      <c r="AN23">
        <v>0</v>
      </c>
      <c r="AO23">
        <v>1</v>
      </c>
      <c r="AP23">
        <v>1</v>
      </c>
      <c r="AQ23">
        <v>0</v>
      </c>
      <c r="AR23">
        <v>0</v>
      </c>
      <c r="AS23" t="s">
        <v>3</v>
      </c>
      <c r="AT23">
        <v>2.79</v>
      </c>
      <c r="AU23" t="s">
        <v>47</v>
      </c>
      <c r="AV23">
        <v>1</v>
      </c>
      <c r="AW23">
        <v>2</v>
      </c>
      <c r="AX23">
        <v>90163370</v>
      </c>
      <c r="AY23">
        <v>1</v>
      </c>
      <c r="AZ23">
        <v>0</v>
      </c>
      <c r="BA23">
        <v>21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CX23">
        <f>Y23*Source!I75</f>
        <v>51.335999999999999</v>
      </c>
      <c r="CY23">
        <f>AD23</f>
        <v>0</v>
      </c>
      <c r="CZ23">
        <f>AH23</f>
        <v>0</v>
      </c>
      <c r="DA23">
        <f>AL23</f>
        <v>1</v>
      </c>
      <c r="DB23">
        <v>0</v>
      </c>
    </row>
    <row r="24" spans="1:106" x14ac:dyDescent="0.2">
      <c r="A24">
        <f>ROW(Source!A75)</f>
        <v>75</v>
      </c>
      <c r="B24">
        <v>90163004</v>
      </c>
      <c r="C24">
        <v>90163366</v>
      </c>
      <c r="D24">
        <v>7159942</v>
      </c>
      <c r="E24">
        <v>7157832</v>
      </c>
      <c r="F24">
        <v>1</v>
      </c>
      <c r="G24">
        <v>7157832</v>
      </c>
      <c r="H24">
        <v>2</v>
      </c>
      <c r="I24" t="s">
        <v>279</v>
      </c>
      <c r="J24" t="s">
        <v>3</v>
      </c>
      <c r="K24" t="s">
        <v>280</v>
      </c>
      <c r="L24">
        <v>1344</v>
      </c>
      <c r="N24">
        <v>1008</v>
      </c>
      <c r="O24" t="s">
        <v>281</v>
      </c>
      <c r="P24" t="s">
        <v>281</v>
      </c>
      <c r="Q24">
        <v>1</v>
      </c>
      <c r="W24">
        <v>0</v>
      </c>
      <c r="X24">
        <v>-450565604</v>
      </c>
      <c r="Y24">
        <v>51.910999999999994</v>
      </c>
      <c r="AA24">
        <v>0</v>
      </c>
      <c r="AB24">
        <v>1.07</v>
      </c>
      <c r="AC24">
        <v>0</v>
      </c>
      <c r="AD24">
        <v>0</v>
      </c>
      <c r="AE24">
        <v>0</v>
      </c>
      <c r="AF24">
        <v>1</v>
      </c>
      <c r="AG24">
        <v>0</v>
      </c>
      <c r="AH24">
        <v>0</v>
      </c>
      <c r="AI24">
        <v>1</v>
      </c>
      <c r="AJ24">
        <v>1</v>
      </c>
      <c r="AK24">
        <v>1</v>
      </c>
      <c r="AL24">
        <v>1</v>
      </c>
      <c r="AN24">
        <v>0</v>
      </c>
      <c r="AO24">
        <v>1</v>
      </c>
      <c r="AP24">
        <v>1</v>
      </c>
      <c r="AQ24">
        <v>0</v>
      </c>
      <c r="AR24">
        <v>0</v>
      </c>
      <c r="AS24" t="s">
        <v>3</v>
      </c>
      <c r="AT24">
        <v>45.14</v>
      </c>
      <c r="AU24" t="s">
        <v>47</v>
      </c>
      <c r="AV24">
        <v>0</v>
      </c>
      <c r="AW24">
        <v>2</v>
      </c>
      <c r="AX24">
        <v>90163371</v>
      </c>
      <c r="AY24">
        <v>1</v>
      </c>
      <c r="AZ24">
        <v>0</v>
      </c>
      <c r="BA24">
        <v>22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CX24">
        <f>Y24*Source!I75</f>
        <v>830.57599999999991</v>
      </c>
      <c r="CY24">
        <f>AB24</f>
        <v>1.07</v>
      </c>
      <c r="CZ24">
        <f>AF24</f>
        <v>1</v>
      </c>
      <c r="DA24">
        <f>AJ24</f>
        <v>1</v>
      </c>
      <c r="DB24">
        <v>0</v>
      </c>
    </row>
    <row r="25" spans="1:106" x14ac:dyDescent="0.2">
      <c r="A25">
        <f>ROW(Source!A75)</f>
        <v>75</v>
      </c>
      <c r="B25">
        <v>90163004</v>
      </c>
      <c r="C25">
        <v>90163366</v>
      </c>
      <c r="D25">
        <v>7182707</v>
      </c>
      <c r="E25">
        <v>7157832</v>
      </c>
      <c r="F25">
        <v>1</v>
      </c>
      <c r="G25">
        <v>7157832</v>
      </c>
      <c r="H25">
        <v>3</v>
      </c>
      <c r="I25" t="s">
        <v>37</v>
      </c>
      <c r="J25" t="s">
        <v>3</v>
      </c>
      <c r="K25" t="s">
        <v>282</v>
      </c>
      <c r="L25">
        <v>1344</v>
      </c>
      <c r="N25">
        <v>1008</v>
      </c>
      <c r="O25" t="s">
        <v>281</v>
      </c>
      <c r="P25" t="s">
        <v>281</v>
      </c>
      <c r="Q25">
        <v>1</v>
      </c>
      <c r="W25">
        <v>0</v>
      </c>
      <c r="X25">
        <v>-360884371</v>
      </c>
      <c r="Y25">
        <v>32.4</v>
      </c>
      <c r="AA25">
        <v>1</v>
      </c>
      <c r="AB25">
        <v>0</v>
      </c>
      <c r="AC25">
        <v>0</v>
      </c>
      <c r="AD25">
        <v>0</v>
      </c>
      <c r="AE25">
        <v>1</v>
      </c>
      <c r="AF25">
        <v>0</v>
      </c>
      <c r="AG25">
        <v>0</v>
      </c>
      <c r="AH25">
        <v>0</v>
      </c>
      <c r="AI25">
        <v>1</v>
      </c>
      <c r="AJ25">
        <v>1</v>
      </c>
      <c r="AK25">
        <v>1</v>
      </c>
      <c r="AL25">
        <v>1</v>
      </c>
      <c r="AN25">
        <v>0</v>
      </c>
      <c r="AO25">
        <v>1</v>
      </c>
      <c r="AP25">
        <v>0</v>
      </c>
      <c r="AQ25">
        <v>0</v>
      </c>
      <c r="AR25">
        <v>0</v>
      </c>
      <c r="AS25" t="s">
        <v>3</v>
      </c>
      <c r="AT25">
        <v>32.4</v>
      </c>
      <c r="AU25" t="s">
        <v>3</v>
      </c>
      <c r="AV25">
        <v>0</v>
      </c>
      <c r="AW25">
        <v>2</v>
      </c>
      <c r="AX25">
        <v>90163372</v>
      </c>
      <c r="AY25">
        <v>1</v>
      </c>
      <c r="AZ25">
        <v>0</v>
      </c>
      <c r="BA25">
        <v>23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  <c r="BS25">
        <v>0</v>
      </c>
      <c r="BT25">
        <v>0</v>
      </c>
      <c r="BU25">
        <v>0</v>
      </c>
      <c r="BV25">
        <v>0</v>
      </c>
      <c r="BW25">
        <v>0</v>
      </c>
      <c r="CX25">
        <f>Y25*Source!I75</f>
        <v>518.4</v>
      </c>
      <c r="CY25">
        <f>AA25</f>
        <v>1</v>
      </c>
      <c r="CZ25">
        <f>AE25</f>
        <v>1</v>
      </c>
      <c r="DA25">
        <f>AI25</f>
        <v>1</v>
      </c>
      <c r="DB25">
        <v>0</v>
      </c>
    </row>
    <row r="26" spans="1:106" x14ac:dyDescent="0.2">
      <c r="A26">
        <f>ROW(Source!A76)</f>
        <v>76</v>
      </c>
      <c r="B26">
        <v>90163004</v>
      </c>
      <c r="C26">
        <v>90163373</v>
      </c>
      <c r="D26">
        <v>7182705</v>
      </c>
      <c r="E26">
        <v>7157832</v>
      </c>
      <c r="F26">
        <v>1</v>
      </c>
      <c r="G26">
        <v>7157832</v>
      </c>
      <c r="H26">
        <v>3</v>
      </c>
      <c r="I26" t="s">
        <v>37</v>
      </c>
      <c r="J26" t="s">
        <v>3</v>
      </c>
      <c r="K26" t="s">
        <v>41</v>
      </c>
      <c r="L26">
        <v>1339</v>
      </c>
      <c r="N26">
        <v>1007</v>
      </c>
      <c r="O26" t="s">
        <v>30</v>
      </c>
      <c r="P26" t="s">
        <v>30</v>
      </c>
      <c r="Q26">
        <v>1</v>
      </c>
      <c r="W26">
        <v>1</v>
      </c>
      <c r="X26">
        <v>-589967668</v>
      </c>
      <c r="Y26">
        <v>-0.2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1</v>
      </c>
      <c r="AJ26">
        <v>1</v>
      </c>
      <c r="AK26">
        <v>1</v>
      </c>
      <c r="AL26">
        <v>1</v>
      </c>
      <c r="AN26">
        <v>0</v>
      </c>
      <c r="AO26">
        <v>1</v>
      </c>
      <c r="AP26">
        <v>1</v>
      </c>
      <c r="AQ26">
        <v>0</v>
      </c>
      <c r="AR26">
        <v>0</v>
      </c>
      <c r="AS26" t="s">
        <v>3</v>
      </c>
      <c r="AT26">
        <v>-0.2</v>
      </c>
      <c r="AU26" t="s">
        <v>3</v>
      </c>
      <c r="AV26">
        <v>0</v>
      </c>
      <c r="AW26">
        <v>2</v>
      </c>
      <c r="AX26">
        <v>90163375</v>
      </c>
      <c r="AY26">
        <v>1</v>
      </c>
      <c r="AZ26">
        <v>6144</v>
      </c>
      <c r="BA26">
        <v>24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  <c r="BS26">
        <v>0</v>
      </c>
      <c r="BT26">
        <v>0</v>
      </c>
      <c r="BU26">
        <v>0</v>
      </c>
      <c r="BV26">
        <v>0</v>
      </c>
      <c r="BW26">
        <v>0</v>
      </c>
      <c r="CX26">
        <f>Y26*Source!I76</f>
        <v>-120</v>
      </c>
      <c r="CY26">
        <f>AA26</f>
        <v>0</v>
      </c>
      <c r="CZ26">
        <f>AE26</f>
        <v>0</v>
      </c>
      <c r="DA26">
        <f>AI26</f>
        <v>1</v>
      </c>
      <c r="DB26">
        <v>0</v>
      </c>
    </row>
    <row r="27" spans="1:106" x14ac:dyDescent="0.2">
      <c r="A27">
        <f>ROW(Source!A78)</f>
        <v>78</v>
      </c>
      <c r="B27">
        <v>90163004</v>
      </c>
      <c r="C27">
        <v>90163377</v>
      </c>
      <c r="D27">
        <v>7157835</v>
      </c>
      <c r="E27">
        <v>7157832</v>
      </c>
      <c r="F27">
        <v>1</v>
      </c>
      <c r="G27">
        <v>7157832</v>
      </c>
      <c r="H27">
        <v>1</v>
      </c>
      <c r="I27" t="s">
        <v>276</v>
      </c>
      <c r="J27" t="s">
        <v>3</v>
      </c>
      <c r="K27" t="s">
        <v>277</v>
      </c>
      <c r="L27">
        <v>1191</v>
      </c>
      <c r="N27">
        <v>1013</v>
      </c>
      <c r="O27" t="s">
        <v>278</v>
      </c>
      <c r="P27" t="s">
        <v>278</v>
      </c>
      <c r="Q27">
        <v>1</v>
      </c>
      <c r="W27">
        <v>0</v>
      </c>
      <c r="X27">
        <v>946207192</v>
      </c>
      <c r="Y27">
        <v>1.38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1</v>
      </c>
      <c r="AJ27">
        <v>1</v>
      </c>
      <c r="AK27">
        <v>1</v>
      </c>
      <c r="AL27">
        <v>1</v>
      </c>
      <c r="AN27">
        <v>0</v>
      </c>
      <c r="AO27">
        <v>1</v>
      </c>
      <c r="AP27">
        <v>1</v>
      </c>
      <c r="AQ27">
        <v>0</v>
      </c>
      <c r="AR27">
        <v>0</v>
      </c>
      <c r="AS27" t="s">
        <v>3</v>
      </c>
      <c r="AT27">
        <v>1.38</v>
      </c>
      <c r="AU27" t="s">
        <v>3</v>
      </c>
      <c r="AV27">
        <v>1</v>
      </c>
      <c r="AW27">
        <v>2</v>
      </c>
      <c r="AX27">
        <v>90163381</v>
      </c>
      <c r="AY27">
        <v>1</v>
      </c>
      <c r="AZ27">
        <v>0</v>
      </c>
      <c r="BA27">
        <v>25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CX27">
        <f>Y27*Source!I78</f>
        <v>2.1636191999999999</v>
      </c>
      <c r="CY27">
        <f>AD27</f>
        <v>0</v>
      </c>
      <c r="CZ27">
        <f>AH27</f>
        <v>0</v>
      </c>
      <c r="DA27">
        <f>AL27</f>
        <v>1</v>
      </c>
      <c r="DB27">
        <v>0</v>
      </c>
    </row>
    <row r="28" spans="1:106" x14ac:dyDescent="0.2">
      <c r="A28">
        <f>ROW(Source!A78)</f>
        <v>78</v>
      </c>
      <c r="B28">
        <v>90163004</v>
      </c>
      <c r="C28">
        <v>90163377</v>
      </c>
      <c r="D28">
        <v>7230725</v>
      </c>
      <c r="E28">
        <v>1</v>
      </c>
      <c r="F28">
        <v>1</v>
      </c>
      <c r="G28">
        <v>7157832</v>
      </c>
      <c r="H28">
        <v>2</v>
      </c>
      <c r="I28" t="s">
        <v>308</v>
      </c>
      <c r="J28" t="s">
        <v>309</v>
      </c>
      <c r="K28" t="s">
        <v>310</v>
      </c>
      <c r="L28">
        <v>1368</v>
      </c>
      <c r="N28">
        <v>1011</v>
      </c>
      <c r="O28" t="s">
        <v>286</v>
      </c>
      <c r="P28" t="s">
        <v>286</v>
      </c>
      <c r="Q28">
        <v>1</v>
      </c>
      <c r="W28">
        <v>0</v>
      </c>
      <c r="X28">
        <v>419869572</v>
      </c>
      <c r="Y28">
        <v>3.9874999999999998</v>
      </c>
      <c r="AA28">
        <v>0</v>
      </c>
      <c r="AB28">
        <v>1469.28</v>
      </c>
      <c r="AC28">
        <v>595.23</v>
      </c>
      <c r="AD28">
        <v>0</v>
      </c>
      <c r="AE28">
        <v>0</v>
      </c>
      <c r="AF28">
        <v>162.4</v>
      </c>
      <c r="AG28">
        <v>28.6</v>
      </c>
      <c r="AH28">
        <v>0</v>
      </c>
      <c r="AI28">
        <v>1</v>
      </c>
      <c r="AJ28">
        <v>7.59</v>
      </c>
      <c r="AK28">
        <v>17.46</v>
      </c>
      <c r="AL28">
        <v>1</v>
      </c>
      <c r="AN28">
        <v>0</v>
      </c>
      <c r="AO28">
        <v>1</v>
      </c>
      <c r="AP28">
        <v>1</v>
      </c>
      <c r="AQ28">
        <v>0</v>
      </c>
      <c r="AR28">
        <v>0</v>
      </c>
      <c r="AS28" t="s">
        <v>3</v>
      </c>
      <c r="AT28">
        <v>3.9874999999999998</v>
      </c>
      <c r="AU28" t="s">
        <v>3</v>
      </c>
      <c r="AV28">
        <v>0</v>
      </c>
      <c r="AW28">
        <v>2</v>
      </c>
      <c r="AX28">
        <v>90163382</v>
      </c>
      <c r="AY28">
        <v>1</v>
      </c>
      <c r="AZ28">
        <v>0</v>
      </c>
      <c r="BA28">
        <v>26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  <c r="BS28">
        <v>0</v>
      </c>
      <c r="BT28">
        <v>0</v>
      </c>
      <c r="BU28">
        <v>0</v>
      </c>
      <c r="BV28">
        <v>0</v>
      </c>
      <c r="BW28">
        <v>0</v>
      </c>
      <c r="CX28">
        <f>Y28*Source!I78</f>
        <v>6.2517619999999994</v>
      </c>
      <c r="CY28">
        <f>AB28</f>
        <v>1469.28</v>
      </c>
      <c r="CZ28">
        <f>AF28</f>
        <v>162.4</v>
      </c>
      <c r="DA28">
        <f>AJ28</f>
        <v>7.59</v>
      </c>
      <c r="DB28">
        <v>0</v>
      </c>
    </row>
    <row r="29" spans="1:106" x14ac:dyDescent="0.2">
      <c r="A29">
        <f>ROW(Source!A78)</f>
        <v>78</v>
      </c>
      <c r="B29">
        <v>90163004</v>
      </c>
      <c r="C29">
        <v>90163377</v>
      </c>
      <c r="D29">
        <v>7230750</v>
      </c>
      <c r="E29">
        <v>1</v>
      </c>
      <c r="F29">
        <v>1</v>
      </c>
      <c r="G29">
        <v>7157832</v>
      </c>
      <c r="H29">
        <v>2</v>
      </c>
      <c r="I29" t="s">
        <v>311</v>
      </c>
      <c r="J29" t="s">
        <v>312</v>
      </c>
      <c r="K29" t="s">
        <v>313</v>
      </c>
      <c r="L29">
        <v>1368</v>
      </c>
      <c r="N29">
        <v>1011</v>
      </c>
      <c r="O29" t="s">
        <v>286</v>
      </c>
      <c r="P29" t="s">
        <v>286</v>
      </c>
      <c r="Q29">
        <v>1</v>
      </c>
      <c r="W29">
        <v>0</v>
      </c>
      <c r="X29">
        <v>1610179075</v>
      </c>
      <c r="Y29">
        <v>0.997</v>
      </c>
      <c r="AA29">
        <v>0</v>
      </c>
      <c r="AB29">
        <v>909.91</v>
      </c>
      <c r="AC29">
        <v>551.94000000000005</v>
      </c>
      <c r="AD29">
        <v>0</v>
      </c>
      <c r="AE29">
        <v>0</v>
      </c>
      <c r="AF29">
        <v>110.31</v>
      </c>
      <c r="AG29">
        <v>26.52</v>
      </c>
      <c r="AH29">
        <v>0</v>
      </c>
      <c r="AI29">
        <v>1</v>
      </c>
      <c r="AJ29">
        <v>6.92</v>
      </c>
      <c r="AK29">
        <v>17.46</v>
      </c>
      <c r="AL29">
        <v>1</v>
      </c>
      <c r="AN29">
        <v>0</v>
      </c>
      <c r="AO29">
        <v>1</v>
      </c>
      <c r="AP29">
        <v>1</v>
      </c>
      <c r="AQ29">
        <v>0</v>
      </c>
      <c r="AR29">
        <v>0</v>
      </c>
      <c r="AS29" t="s">
        <v>3</v>
      </c>
      <c r="AT29">
        <v>0.997</v>
      </c>
      <c r="AU29" t="s">
        <v>3</v>
      </c>
      <c r="AV29">
        <v>0</v>
      </c>
      <c r="AW29">
        <v>2</v>
      </c>
      <c r="AX29">
        <v>90163383</v>
      </c>
      <c r="AY29">
        <v>1</v>
      </c>
      <c r="AZ29">
        <v>0</v>
      </c>
      <c r="BA29">
        <v>27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CX29">
        <f>Y29*Source!I78</f>
        <v>1.5631364799999998</v>
      </c>
      <c r="CY29">
        <f>AB29</f>
        <v>909.91</v>
      </c>
      <c r="CZ29">
        <f>AF29</f>
        <v>110.31</v>
      </c>
      <c r="DA29">
        <f>AJ29</f>
        <v>6.92</v>
      </c>
      <c r="DB29">
        <v>0</v>
      </c>
    </row>
    <row r="30" spans="1:106" x14ac:dyDescent="0.2">
      <c r="A30">
        <f>ROW(Source!A114)</f>
        <v>114</v>
      </c>
      <c r="B30">
        <v>90163004</v>
      </c>
      <c r="C30">
        <v>90165070</v>
      </c>
      <c r="D30">
        <v>7157835</v>
      </c>
      <c r="E30">
        <v>7157832</v>
      </c>
      <c r="F30">
        <v>1</v>
      </c>
      <c r="G30">
        <v>7157832</v>
      </c>
      <c r="H30">
        <v>1</v>
      </c>
      <c r="I30" t="s">
        <v>276</v>
      </c>
      <c r="J30" t="s">
        <v>3</v>
      </c>
      <c r="K30" t="s">
        <v>277</v>
      </c>
      <c r="L30">
        <v>1191</v>
      </c>
      <c r="N30">
        <v>1013</v>
      </c>
      <c r="O30" t="s">
        <v>278</v>
      </c>
      <c r="P30" t="s">
        <v>278</v>
      </c>
      <c r="Q30">
        <v>1</v>
      </c>
      <c r="W30">
        <v>0</v>
      </c>
      <c r="X30">
        <v>946207192</v>
      </c>
      <c r="Y30">
        <v>760.84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1</v>
      </c>
      <c r="AJ30">
        <v>1</v>
      </c>
      <c r="AK30">
        <v>1</v>
      </c>
      <c r="AL30">
        <v>1</v>
      </c>
      <c r="AN30">
        <v>0</v>
      </c>
      <c r="AO30">
        <v>1</v>
      </c>
      <c r="AP30">
        <v>1</v>
      </c>
      <c r="AQ30">
        <v>0</v>
      </c>
      <c r="AR30">
        <v>0</v>
      </c>
      <c r="AS30" t="s">
        <v>3</v>
      </c>
      <c r="AT30">
        <v>827</v>
      </c>
      <c r="AU30" t="s">
        <v>165</v>
      </c>
      <c r="AV30">
        <v>1</v>
      </c>
      <c r="AW30">
        <v>2</v>
      </c>
      <c r="AX30">
        <v>90165086</v>
      </c>
      <c r="AY30">
        <v>1</v>
      </c>
      <c r="AZ30">
        <v>0</v>
      </c>
      <c r="BA30">
        <v>28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  <c r="BS30">
        <v>0</v>
      </c>
      <c r="BT30">
        <v>0</v>
      </c>
      <c r="BU30">
        <v>0</v>
      </c>
      <c r="BV30">
        <v>0</v>
      </c>
      <c r="BW30">
        <v>0</v>
      </c>
      <c r="CX30">
        <f>Y30*Source!I114</f>
        <v>68.760458495999998</v>
      </c>
      <c r="CY30">
        <f>AD30</f>
        <v>0</v>
      </c>
      <c r="CZ30">
        <f>AH30</f>
        <v>0</v>
      </c>
      <c r="DA30">
        <f>AL30</f>
        <v>1</v>
      </c>
      <c r="DB30">
        <v>0</v>
      </c>
    </row>
    <row r="31" spans="1:106" x14ac:dyDescent="0.2">
      <c r="A31">
        <f>ROW(Source!A114)</f>
        <v>114</v>
      </c>
      <c r="B31">
        <v>90163004</v>
      </c>
      <c r="C31">
        <v>90165070</v>
      </c>
      <c r="D31">
        <v>7231210</v>
      </c>
      <c r="E31">
        <v>1</v>
      </c>
      <c r="F31">
        <v>1</v>
      </c>
      <c r="G31">
        <v>7157832</v>
      </c>
      <c r="H31">
        <v>2</v>
      </c>
      <c r="I31" t="s">
        <v>314</v>
      </c>
      <c r="J31" t="s">
        <v>315</v>
      </c>
      <c r="K31" t="s">
        <v>316</v>
      </c>
      <c r="L31">
        <v>1368</v>
      </c>
      <c r="N31">
        <v>1011</v>
      </c>
      <c r="O31" t="s">
        <v>286</v>
      </c>
      <c r="P31" t="s">
        <v>286</v>
      </c>
      <c r="Q31">
        <v>1</v>
      </c>
      <c r="W31">
        <v>0</v>
      </c>
      <c r="X31">
        <v>1800549925</v>
      </c>
      <c r="Y31">
        <v>24.195999999999998</v>
      </c>
      <c r="AA31">
        <v>0</v>
      </c>
      <c r="AB31">
        <v>67.13</v>
      </c>
      <c r="AC31">
        <v>5.88</v>
      </c>
      <c r="AD31">
        <v>0</v>
      </c>
      <c r="AE31">
        <v>0</v>
      </c>
      <c r="AF31">
        <v>7.01</v>
      </c>
      <c r="AG31">
        <v>0.31</v>
      </c>
      <c r="AH31">
        <v>0</v>
      </c>
      <c r="AI31">
        <v>1</v>
      </c>
      <c r="AJ31">
        <v>8.81</v>
      </c>
      <c r="AK31">
        <v>17.46</v>
      </c>
      <c r="AL31">
        <v>1</v>
      </c>
      <c r="AN31">
        <v>0</v>
      </c>
      <c r="AO31">
        <v>1</v>
      </c>
      <c r="AP31">
        <v>1</v>
      </c>
      <c r="AQ31">
        <v>0</v>
      </c>
      <c r="AR31">
        <v>0</v>
      </c>
      <c r="AS31" t="s">
        <v>3</v>
      </c>
      <c r="AT31">
        <v>26.3</v>
      </c>
      <c r="AU31" t="s">
        <v>165</v>
      </c>
      <c r="AV31">
        <v>0</v>
      </c>
      <c r="AW31">
        <v>2</v>
      </c>
      <c r="AX31">
        <v>90165087</v>
      </c>
      <c r="AY31">
        <v>1</v>
      </c>
      <c r="AZ31">
        <v>0</v>
      </c>
      <c r="BA31">
        <v>29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  <c r="BS31">
        <v>0</v>
      </c>
      <c r="BT31">
        <v>0</v>
      </c>
      <c r="BU31">
        <v>0</v>
      </c>
      <c r="BV31">
        <v>0</v>
      </c>
      <c r="BW31">
        <v>0</v>
      </c>
      <c r="CX31">
        <f>Y31*Source!I114</f>
        <v>2.1866989823999998</v>
      </c>
      <c r="CY31">
        <f>AB31</f>
        <v>67.13</v>
      </c>
      <c r="CZ31">
        <f>AF31</f>
        <v>7.01</v>
      </c>
      <c r="DA31">
        <f>AJ31</f>
        <v>8.81</v>
      </c>
      <c r="DB31">
        <v>0</v>
      </c>
    </row>
    <row r="32" spans="1:106" x14ac:dyDescent="0.2">
      <c r="A32">
        <f>ROW(Source!A114)</f>
        <v>114</v>
      </c>
      <c r="B32">
        <v>90163004</v>
      </c>
      <c r="C32">
        <v>90165070</v>
      </c>
      <c r="D32">
        <v>7231421</v>
      </c>
      <c r="E32">
        <v>1</v>
      </c>
      <c r="F32">
        <v>1</v>
      </c>
      <c r="G32">
        <v>7157832</v>
      </c>
      <c r="H32">
        <v>2</v>
      </c>
      <c r="I32" t="s">
        <v>293</v>
      </c>
      <c r="J32" t="s">
        <v>294</v>
      </c>
      <c r="K32" t="s">
        <v>295</v>
      </c>
      <c r="L32">
        <v>1368</v>
      </c>
      <c r="N32">
        <v>1011</v>
      </c>
      <c r="O32" t="s">
        <v>286</v>
      </c>
      <c r="P32" t="s">
        <v>286</v>
      </c>
      <c r="Q32">
        <v>1</v>
      </c>
      <c r="W32">
        <v>0</v>
      </c>
      <c r="X32">
        <v>-1289262214</v>
      </c>
      <c r="Y32">
        <v>2.2724000000000002</v>
      </c>
      <c r="AA32">
        <v>0</v>
      </c>
      <c r="AB32">
        <v>730.67</v>
      </c>
      <c r="AC32">
        <v>333.84</v>
      </c>
      <c r="AD32">
        <v>0</v>
      </c>
      <c r="AE32">
        <v>0</v>
      </c>
      <c r="AF32">
        <v>74.44</v>
      </c>
      <c r="AG32">
        <v>17.59</v>
      </c>
      <c r="AH32">
        <v>0</v>
      </c>
      <c r="AI32">
        <v>1</v>
      </c>
      <c r="AJ32">
        <v>9.0299999999999994</v>
      </c>
      <c r="AK32">
        <v>17.46</v>
      </c>
      <c r="AL32">
        <v>1</v>
      </c>
      <c r="AN32">
        <v>0</v>
      </c>
      <c r="AO32">
        <v>1</v>
      </c>
      <c r="AP32">
        <v>1</v>
      </c>
      <c r="AQ32">
        <v>0</v>
      </c>
      <c r="AR32">
        <v>0</v>
      </c>
      <c r="AS32" t="s">
        <v>3</v>
      </c>
      <c r="AT32">
        <v>2.4700000000000002</v>
      </c>
      <c r="AU32" t="s">
        <v>165</v>
      </c>
      <c r="AV32">
        <v>0</v>
      </c>
      <c r="AW32">
        <v>2</v>
      </c>
      <c r="AX32">
        <v>90165088</v>
      </c>
      <c r="AY32">
        <v>1</v>
      </c>
      <c r="AZ32">
        <v>0</v>
      </c>
      <c r="BA32">
        <v>30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0</v>
      </c>
      <c r="BU32">
        <v>0</v>
      </c>
      <c r="BV32">
        <v>0</v>
      </c>
      <c r="BW32">
        <v>0</v>
      </c>
      <c r="CX32">
        <f>Y32*Source!I114</f>
        <v>0.20536678656000001</v>
      </c>
      <c r="CY32">
        <f>AB32</f>
        <v>730.67</v>
      </c>
      <c r="CZ32">
        <f>AF32</f>
        <v>74.44</v>
      </c>
      <c r="DA32">
        <f>AJ32</f>
        <v>9.0299999999999994</v>
      </c>
      <c r="DB32">
        <v>0</v>
      </c>
    </row>
    <row r="33" spans="1:106" x14ac:dyDescent="0.2">
      <c r="A33">
        <f>ROW(Source!A114)</f>
        <v>114</v>
      </c>
      <c r="B33">
        <v>90163004</v>
      </c>
      <c r="C33">
        <v>90165070</v>
      </c>
      <c r="D33">
        <v>7230811</v>
      </c>
      <c r="E33">
        <v>1</v>
      </c>
      <c r="F33">
        <v>1</v>
      </c>
      <c r="G33">
        <v>7157832</v>
      </c>
      <c r="H33">
        <v>2</v>
      </c>
      <c r="I33" t="s">
        <v>317</v>
      </c>
      <c r="J33" t="s">
        <v>318</v>
      </c>
      <c r="K33" t="s">
        <v>319</v>
      </c>
      <c r="L33">
        <v>1368</v>
      </c>
      <c r="N33">
        <v>1011</v>
      </c>
      <c r="O33" t="s">
        <v>286</v>
      </c>
      <c r="P33" t="s">
        <v>286</v>
      </c>
      <c r="Q33">
        <v>1</v>
      </c>
      <c r="W33">
        <v>0</v>
      </c>
      <c r="X33">
        <v>1373649140</v>
      </c>
      <c r="Y33">
        <v>1.5179999999999998</v>
      </c>
      <c r="AA33">
        <v>0</v>
      </c>
      <c r="AB33">
        <v>882.4</v>
      </c>
      <c r="AC33">
        <v>569.94000000000005</v>
      </c>
      <c r="AD33">
        <v>0</v>
      </c>
      <c r="AE33">
        <v>0</v>
      </c>
      <c r="AF33">
        <v>102.11</v>
      </c>
      <c r="AG33">
        <v>30.03</v>
      </c>
      <c r="AH33">
        <v>0</v>
      </c>
      <c r="AI33">
        <v>1</v>
      </c>
      <c r="AJ33">
        <v>7.95</v>
      </c>
      <c r="AK33">
        <v>17.46</v>
      </c>
      <c r="AL33">
        <v>1</v>
      </c>
      <c r="AN33">
        <v>0</v>
      </c>
      <c r="AO33">
        <v>1</v>
      </c>
      <c r="AP33">
        <v>1</v>
      </c>
      <c r="AQ33">
        <v>0</v>
      </c>
      <c r="AR33">
        <v>0</v>
      </c>
      <c r="AS33" t="s">
        <v>3</v>
      </c>
      <c r="AT33">
        <v>1.65</v>
      </c>
      <c r="AU33" t="s">
        <v>165</v>
      </c>
      <c r="AV33">
        <v>0</v>
      </c>
      <c r="AW33">
        <v>2</v>
      </c>
      <c r="AX33">
        <v>90165089</v>
      </c>
      <c r="AY33">
        <v>1</v>
      </c>
      <c r="AZ33">
        <v>0</v>
      </c>
      <c r="BA33">
        <v>31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CX33">
        <f>Y33*Source!I114</f>
        <v>0.13718833919999998</v>
      </c>
      <c r="CY33">
        <f>AB33</f>
        <v>882.4</v>
      </c>
      <c r="CZ33">
        <f>AF33</f>
        <v>102.11</v>
      </c>
      <c r="DA33">
        <f>AJ33</f>
        <v>7.95</v>
      </c>
      <c r="DB33">
        <v>0</v>
      </c>
    </row>
    <row r="34" spans="1:106" x14ac:dyDescent="0.2">
      <c r="A34">
        <f>ROW(Source!A114)</f>
        <v>114</v>
      </c>
      <c r="B34">
        <v>90163004</v>
      </c>
      <c r="C34">
        <v>90165070</v>
      </c>
      <c r="D34">
        <v>7231063</v>
      </c>
      <c r="E34">
        <v>1</v>
      </c>
      <c r="F34">
        <v>1</v>
      </c>
      <c r="G34">
        <v>7157832</v>
      </c>
      <c r="H34">
        <v>2</v>
      </c>
      <c r="I34" t="s">
        <v>320</v>
      </c>
      <c r="J34" t="s">
        <v>321</v>
      </c>
      <c r="K34" t="s">
        <v>322</v>
      </c>
      <c r="L34">
        <v>1368</v>
      </c>
      <c r="N34">
        <v>1011</v>
      </c>
      <c r="O34" t="s">
        <v>286</v>
      </c>
      <c r="P34" t="s">
        <v>286</v>
      </c>
      <c r="Q34">
        <v>1</v>
      </c>
      <c r="W34">
        <v>0</v>
      </c>
      <c r="X34">
        <v>1377528409</v>
      </c>
      <c r="Y34">
        <v>35.741999999999997</v>
      </c>
      <c r="AA34">
        <v>0</v>
      </c>
      <c r="AB34">
        <v>9.07</v>
      </c>
      <c r="AC34">
        <v>1.71</v>
      </c>
      <c r="AD34">
        <v>0</v>
      </c>
      <c r="AE34">
        <v>0</v>
      </c>
      <c r="AF34">
        <v>2.06</v>
      </c>
      <c r="AG34">
        <v>0.09</v>
      </c>
      <c r="AH34">
        <v>0</v>
      </c>
      <c r="AI34">
        <v>1</v>
      </c>
      <c r="AJ34">
        <v>4.05</v>
      </c>
      <c r="AK34">
        <v>17.46</v>
      </c>
      <c r="AL34">
        <v>1</v>
      </c>
      <c r="AN34">
        <v>0</v>
      </c>
      <c r="AO34">
        <v>1</v>
      </c>
      <c r="AP34">
        <v>1</v>
      </c>
      <c r="AQ34">
        <v>0</v>
      </c>
      <c r="AR34">
        <v>0</v>
      </c>
      <c r="AS34" t="s">
        <v>3</v>
      </c>
      <c r="AT34">
        <v>38.85</v>
      </c>
      <c r="AU34" t="s">
        <v>165</v>
      </c>
      <c r="AV34">
        <v>0</v>
      </c>
      <c r="AW34">
        <v>2</v>
      </c>
      <c r="AX34">
        <v>90165090</v>
      </c>
      <c r="AY34">
        <v>1</v>
      </c>
      <c r="AZ34">
        <v>0</v>
      </c>
      <c r="BA34">
        <v>32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CX34">
        <f>Y34*Source!I114</f>
        <v>3.2301618047999994</v>
      </c>
      <c r="CY34">
        <f>AB34</f>
        <v>9.07</v>
      </c>
      <c r="CZ34">
        <f>AF34</f>
        <v>2.06</v>
      </c>
      <c r="DA34">
        <f>AJ34</f>
        <v>4.05</v>
      </c>
      <c r="DB34">
        <v>0</v>
      </c>
    </row>
    <row r="35" spans="1:106" x14ac:dyDescent="0.2">
      <c r="A35">
        <f>ROW(Source!A114)</f>
        <v>114</v>
      </c>
      <c r="B35">
        <v>90163004</v>
      </c>
      <c r="C35">
        <v>90165070</v>
      </c>
      <c r="D35">
        <v>7158352</v>
      </c>
      <c r="E35">
        <v>7157832</v>
      </c>
      <c r="F35">
        <v>1</v>
      </c>
      <c r="G35">
        <v>7157832</v>
      </c>
      <c r="H35">
        <v>3</v>
      </c>
      <c r="I35" t="s">
        <v>323</v>
      </c>
      <c r="J35" t="s">
        <v>3</v>
      </c>
      <c r="K35" t="s">
        <v>324</v>
      </c>
      <c r="L35">
        <v>1348</v>
      </c>
      <c r="N35">
        <v>1009</v>
      </c>
      <c r="O35" t="s">
        <v>39</v>
      </c>
      <c r="P35" t="s">
        <v>39</v>
      </c>
      <c r="Q35">
        <v>1000</v>
      </c>
      <c r="W35">
        <v>0</v>
      </c>
      <c r="X35">
        <v>1013857838</v>
      </c>
      <c r="Y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1</v>
      </c>
      <c r="AJ35">
        <v>1</v>
      </c>
      <c r="AK35">
        <v>1</v>
      </c>
      <c r="AL35">
        <v>1</v>
      </c>
      <c r="AN35">
        <v>0</v>
      </c>
      <c r="AO35">
        <v>0</v>
      </c>
      <c r="AP35">
        <v>1</v>
      </c>
      <c r="AQ35">
        <v>0</v>
      </c>
      <c r="AR35">
        <v>0</v>
      </c>
      <c r="AS35" t="s">
        <v>3</v>
      </c>
      <c r="AT35">
        <v>9.5</v>
      </c>
      <c r="AU35" t="s">
        <v>164</v>
      </c>
      <c r="AV35">
        <v>0</v>
      </c>
      <c r="AW35">
        <v>2</v>
      </c>
      <c r="AX35">
        <v>90165091</v>
      </c>
      <c r="AY35">
        <v>1</v>
      </c>
      <c r="AZ35">
        <v>0</v>
      </c>
      <c r="BA35">
        <v>33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CX35">
        <f>Y35*Source!I114</f>
        <v>0</v>
      </c>
      <c r="CY35">
        <f t="shared" ref="CY35:CY44" si="0">AA35</f>
        <v>0</v>
      </c>
      <c r="CZ35">
        <f t="shared" ref="CZ35:CZ44" si="1">AE35</f>
        <v>0</v>
      </c>
      <c r="DA35">
        <f t="shared" ref="DA35:DA44" si="2">AI35</f>
        <v>1</v>
      </c>
      <c r="DB35">
        <v>0</v>
      </c>
    </row>
    <row r="36" spans="1:106" x14ac:dyDescent="0.2">
      <c r="A36">
        <f>ROW(Source!A114)</f>
        <v>114</v>
      </c>
      <c r="B36">
        <v>90163004</v>
      </c>
      <c r="C36">
        <v>90165070</v>
      </c>
      <c r="D36">
        <v>7231843</v>
      </c>
      <c r="E36">
        <v>1</v>
      </c>
      <c r="F36">
        <v>1</v>
      </c>
      <c r="G36">
        <v>7157832</v>
      </c>
      <c r="H36">
        <v>3</v>
      </c>
      <c r="I36" t="s">
        <v>325</v>
      </c>
      <c r="J36" t="s">
        <v>326</v>
      </c>
      <c r="K36" t="s">
        <v>327</v>
      </c>
      <c r="L36">
        <v>1348</v>
      </c>
      <c r="N36">
        <v>1009</v>
      </c>
      <c r="O36" t="s">
        <v>39</v>
      </c>
      <c r="P36" t="s">
        <v>39</v>
      </c>
      <c r="Q36">
        <v>1000</v>
      </c>
      <c r="W36">
        <v>0</v>
      </c>
      <c r="X36">
        <v>-1423428334</v>
      </c>
      <c r="Y36">
        <v>0</v>
      </c>
      <c r="AA36">
        <v>47880</v>
      </c>
      <c r="AB36">
        <v>0</v>
      </c>
      <c r="AC36">
        <v>0</v>
      </c>
      <c r="AD36">
        <v>0</v>
      </c>
      <c r="AE36">
        <v>6521.42</v>
      </c>
      <c r="AF36">
        <v>0</v>
      </c>
      <c r="AG36">
        <v>0</v>
      </c>
      <c r="AH36">
        <v>0</v>
      </c>
      <c r="AI36">
        <v>7.32</v>
      </c>
      <c r="AJ36">
        <v>1</v>
      </c>
      <c r="AK36">
        <v>1</v>
      </c>
      <c r="AL36">
        <v>1</v>
      </c>
      <c r="AN36">
        <v>0</v>
      </c>
      <c r="AO36">
        <v>1</v>
      </c>
      <c r="AP36">
        <v>1</v>
      </c>
      <c r="AQ36">
        <v>0</v>
      </c>
      <c r="AR36">
        <v>0</v>
      </c>
      <c r="AS36" t="s">
        <v>3</v>
      </c>
      <c r="AT36">
        <v>0.01</v>
      </c>
      <c r="AU36" t="s">
        <v>164</v>
      </c>
      <c r="AV36">
        <v>0</v>
      </c>
      <c r="AW36">
        <v>2</v>
      </c>
      <c r="AX36">
        <v>90165092</v>
      </c>
      <c r="AY36">
        <v>1</v>
      </c>
      <c r="AZ36">
        <v>0</v>
      </c>
      <c r="BA36">
        <v>34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CX36">
        <f>Y36*Source!I114</f>
        <v>0</v>
      </c>
      <c r="CY36">
        <f t="shared" si="0"/>
        <v>47880</v>
      </c>
      <c r="CZ36">
        <f t="shared" si="1"/>
        <v>6521.42</v>
      </c>
      <c r="DA36">
        <f t="shared" si="2"/>
        <v>7.32</v>
      </c>
      <c r="DB36">
        <v>0</v>
      </c>
    </row>
    <row r="37" spans="1:106" x14ac:dyDescent="0.2">
      <c r="A37">
        <f>ROW(Source!A114)</f>
        <v>114</v>
      </c>
      <c r="B37">
        <v>90163004</v>
      </c>
      <c r="C37">
        <v>90165070</v>
      </c>
      <c r="D37">
        <v>7233230</v>
      </c>
      <c r="E37">
        <v>1</v>
      </c>
      <c r="F37">
        <v>1</v>
      </c>
      <c r="G37">
        <v>7157832</v>
      </c>
      <c r="H37">
        <v>3</v>
      </c>
      <c r="I37" t="s">
        <v>328</v>
      </c>
      <c r="J37" t="s">
        <v>329</v>
      </c>
      <c r="K37" t="s">
        <v>330</v>
      </c>
      <c r="L37">
        <v>1348</v>
      </c>
      <c r="N37">
        <v>1009</v>
      </c>
      <c r="O37" t="s">
        <v>39</v>
      </c>
      <c r="P37" t="s">
        <v>39</v>
      </c>
      <c r="Q37">
        <v>1000</v>
      </c>
      <c r="W37">
        <v>0</v>
      </c>
      <c r="X37">
        <v>-918604120</v>
      </c>
      <c r="Y37">
        <v>0</v>
      </c>
      <c r="AA37">
        <v>79996.44</v>
      </c>
      <c r="AB37">
        <v>0</v>
      </c>
      <c r="AC37">
        <v>0</v>
      </c>
      <c r="AD37">
        <v>0</v>
      </c>
      <c r="AE37">
        <v>7191.81</v>
      </c>
      <c r="AF37">
        <v>0</v>
      </c>
      <c r="AG37">
        <v>0</v>
      </c>
      <c r="AH37">
        <v>0</v>
      </c>
      <c r="AI37">
        <v>11.09</v>
      </c>
      <c r="AJ37">
        <v>1</v>
      </c>
      <c r="AK37">
        <v>1</v>
      </c>
      <c r="AL37">
        <v>1</v>
      </c>
      <c r="AN37">
        <v>0</v>
      </c>
      <c r="AO37">
        <v>1</v>
      </c>
      <c r="AP37">
        <v>1</v>
      </c>
      <c r="AQ37">
        <v>0</v>
      </c>
      <c r="AR37">
        <v>0</v>
      </c>
      <c r="AS37" t="s">
        <v>3</v>
      </c>
      <c r="AT37">
        <v>2.75E-2</v>
      </c>
      <c r="AU37" t="s">
        <v>164</v>
      </c>
      <c r="AV37">
        <v>0</v>
      </c>
      <c r="AW37">
        <v>2</v>
      </c>
      <c r="AX37">
        <v>90165093</v>
      </c>
      <c r="AY37">
        <v>1</v>
      </c>
      <c r="AZ37">
        <v>0</v>
      </c>
      <c r="BA37">
        <v>35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CX37">
        <f>Y37*Source!I114</f>
        <v>0</v>
      </c>
      <c r="CY37">
        <f t="shared" si="0"/>
        <v>79996.44</v>
      </c>
      <c r="CZ37">
        <f t="shared" si="1"/>
        <v>7191.81</v>
      </c>
      <c r="DA37">
        <f t="shared" si="2"/>
        <v>11.09</v>
      </c>
      <c r="DB37">
        <v>0</v>
      </c>
    </row>
    <row r="38" spans="1:106" x14ac:dyDescent="0.2">
      <c r="A38">
        <f>ROW(Source!A114)</f>
        <v>114</v>
      </c>
      <c r="B38">
        <v>90163004</v>
      </c>
      <c r="C38">
        <v>90165070</v>
      </c>
      <c r="D38">
        <v>7231936</v>
      </c>
      <c r="E38">
        <v>1</v>
      </c>
      <c r="F38">
        <v>1</v>
      </c>
      <c r="G38">
        <v>7157832</v>
      </c>
      <c r="H38">
        <v>3</v>
      </c>
      <c r="I38" t="s">
        <v>331</v>
      </c>
      <c r="J38" t="s">
        <v>332</v>
      </c>
      <c r="K38" t="s">
        <v>333</v>
      </c>
      <c r="L38">
        <v>1339</v>
      </c>
      <c r="N38">
        <v>1007</v>
      </c>
      <c r="O38" t="s">
        <v>30</v>
      </c>
      <c r="P38" t="s">
        <v>30</v>
      </c>
      <c r="Q38">
        <v>1</v>
      </c>
      <c r="W38">
        <v>0</v>
      </c>
      <c r="X38">
        <v>977517141</v>
      </c>
      <c r="Y38">
        <v>0</v>
      </c>
      <c r="AA38">
        <v>4530.09</v>
      </c>
      <c r="AB38">
        <v>0</v>
      </c>
      <c r="AC38">
        <v>0</v>
      </c>
      <c r="AD38">
        <v>0</v>
      </c>
      <c r="AE38">
        <v>1828.56</v>
      </c>
      <c r="AF38">
        <v>0</v>
      </c>
      <c r="AG38">
        <v>0</v>
      </c>
      <c r="AH38">
        <v>0</v>
      </c>
      <c r="AI38">
        <v>2.4700000000000002</v>
      </c>
      <c r="AJ38">
        <v>1</v>
      </c>
      <c r="AK38">
        <v>1</v>
      </c>
      <c r="AL38">
        <v>1</v>
      </c>
      <c r="AN38">
        <v>0</v>
      </c>
      <c r="AO38">
        <v>1</v>
      </c>
      <c r="AP38">
        <v>1</v>
      </c>
      <c r="AQ38">
        <v>0</v>
      </c>
      <c r="AR38">
        <v>0</v>
      </c>
      <c r="AS38" t="s">
        <v>3</v>
      </c>
      <c r="AT38">
        <v>0.3</v>
      </c>
      <c r="AU38" t="s">
        <v>164</v>
      </c>
      <c r="AV38">
        <v>0</v>
      </c>
      <c r="AW38">
        <v>2</v>
      </c>
      <c r="AX38">
        <v>90165094</v>
      </c>
      <c r="AY38">
        <v>1</v>
      </c>
      <c r="AZ38">
        <v>0</v>
      </c>
      <c r="BA38">
        <v>36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CX38">
        <f>Y38*Source!I114</f>
        <v>0</v>
      </c>
      <c r="CY38">
        <f t="shared" si="0"/>
        <v>4530.09</v>
      </c>
      <c r="CZ38">
        <f t="shared" si="1"/>
        <v>1828.56</v>
      </c>
      <c r="DA38">
        <f t="shared" si="2"/>
        <v>2.4700000000000002</v>
      </c>
      <c r="DB38">
        <v>0</v>
      </c>
    </row>
    <row r="39" spans="1:106" x14ac:dyDescent="0.2">
      <c r="A39">
        <f>ROW(Source!A114)</f>
        <v>114</v>
      </c>
      <c r="B39">
        <v>90163004</v>
      </c>
      <c r="C39">
        <v>90165070</v>
      </c>
      <c r="D39">
        <v>7231762</v>
      </c>
      <c r="E39">
        <v>1</v>
      </c>
      <c r="F39">
        <v>1</v>
      </c>
      <c r="G39">
        <v>7157832</v>
      </c>
      <c r="H39">
        <v>3</v>
      </c>
      <c r="I39" t="s">
        <v>334</v>
      </c>
      <c r="J39" t="s">
        <v>335</v>
      </c>
      <c r="K39" t="s">
        <v>336</v>
      </c>
      <c r="L39">
        <v>1348</v>
      </c>
      <c r="N39">
        <v>1009</v>
      </c>
      <c r="O39" t="s">
        <v>39</v>
      </c>
      <c r="P39" t="s">
        <v>39</v>
      </c>
      <c r="Q39">
        <v>1000</v>
      </c>
      <c r="W39">
        <v>0</v>
      </c>
      <c r="X39">
        <v>14070571</v>
      </c>
      <c r="Y39">
        <v>0</v>
      </c>
      <c r="AA39">
        <v>15460.66</v>
      </c>
      <c r="AB39">
        <v>0</v>
      </c>
      <c r="AC39">
        <v>0</v>
      </c>
      <c r="AD39">
        <v>0</v>
      </c>
      <c r="AE39">
        <v>3806.03</v>
      </c>
      <c r="AF39">
        <v>0</v>
      </c>
      <c r="AG39">
        <v>0</v>
      </c>
      <c r="AH39">
        <v>0</v>
      </c>
      <c r="AI39">
        <v>4.05</v>
      </c>
      <c r="AJ39">
        <v>1</v>
      </c>
      <c r="AK39">
        <v>1</v>
      </c>
      <c r="AL39">
        <v>1</v>
      </c>
      <c r="AN39">
        <v>0</v>
      </c>
      <c r="AO39">
        <v>1</v>
      </c>
      <c r="AP39">
        <v>1</v>
      </c>
      <c r="AQ39">
        <v>0</v>
      </c>
      <c r="AR39">
        <v>0</v>
      </c>
      <c r="AS39" t="s">
        <v>3</v>
      </c>
      <c r="AT39">
        <v>0.84</v>
      </c>
      <c r="AU39" t="s">
        <v>164</v>
      </c>
      <c r="AV39">
        <v>0</v>
      </c>
      <c r="AW39">
        <v>2</v>
      </c>
      <c r="AX39">
        <v>90165095</v>
      </c>
      <c r="AY39">
        <v>1</v>
      </c>
      <c r="AZ39">
        <v>0</v>
      </c>
      <c r="BA39">
        <v>37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CX39">
        <f>Y39*Source!I114</f>
        <v>0</v>
      </c>
      <c r="CY39">
        <f t="shared" si="0"/>
        <v>15460.66</v>
      </c>
      <c r="CZ39">
        <f t="shared" si="1"/>
        <v>3806.03</v>
      </c>
      <c r="DA39">
        <f t="shared" si="2"/>
        <v>4.05</v>
      </c>
      <c r="DB39">
        <v>0</v>
      </c>
    </row>
    <row r="40" spans="1:106" x14ac:dyDescent="0.2">
      <c r="A40">
        <f>ROW(Source!A114)</f>
        <v>114</v>
      </c>
      <c r="B40">
        <v>90163004</v>
      </c>
      <c r="C40">
        <v>90165070</v>
      </c>
      <c r="D40">
        <v>7239912</v>
      </c>
      <c r="E40">
        <v>1</v>
      </c>
      <c r="F40">
        <v>1</v>
      </c>
      <c r="G40">
        <v>7157832</v>
      </c>
      <c r="H40">
        <v>3</v>
      </c>
      <c r="I40" t="s">
        <v>337</v>
      </c>
      <c r="J40" t="s">
        <v>338</v>
      </c>
      <c r="K40" t="s">
        <v>339</v>
      </c>
      <c r="L40">
        <v>1327</v>
      </c>
      <c r="N40">
        <v>1005</v>
      </c>
      <c r="O40" t="s">
        <v>151</v>
      </c>
      <c r="P40" t="s">
        <v>151</v>
      </c>
      <c r="Q40">
        <v>1</v>
      </c>
      <c r="W40">
        <v>0</v>
      </c>
      <c r="X40">
        <v>71660933</v>
      </c>
      <c r="Y40">
        <v>0</v>
      </c>
      <c r="AA40">
        <v>443.96</v>
      </c>
      <c r="AB40">
        <v>0</v>
      </c>
      <c r="AC40">
        <v>0</v>
      </c>
      <c r="AD40">
        <v>0</v>
      </c>
      <c r="AE40">
        <v>90.15</v>
      </c>
      <c r="AF40">
        <v>0</v>
      </c>
      <c r="AG40">
        <v>0</v>
      </c>
      <c r="AH40">
        <v>0</v>
      </c>
      <c r="AI40">
        <v>4.91</v>
      </c>
      <c r="AJ40">
        <v>1</v>
      </c>
      <c r="AK40">
        <v>1</v>
      </c>
      <c r="AL40">
        <v>1</v>
      </c>
      <c r="AN40">
        <v>0</v>
      </c>
      <c r="AO40">
        <v>1</v>
      </c>
      <c r="AP40">
        <v>1</v>
      </c>
      <c r="AQ40">
        <v>0</v>
      </c>
      <c r="AR40">
        <v>0</v>
      </c>
      <c r="AS40" t="s">
        <v>3</v>
      </c>
      <c r="AT40">
        <v>9.1999999999999993</v>
      </c>
      <c r="AU40" t="s">
        <v>164</v>
      </c>
      <c r="AV40">
        <v>0</v>
      </c>
      <c r="AW40">
        <v>2</v>
      </c>
      <c r="AX40">
        <v>90165096</v>
      </c>
      <c r="AY40">
        <v>1</v>
      </c>
      <c r="AZ40">
        <v>0</v>
      </c>
      <c r="BA40">
        <v>38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CX40">
        <f>Y40*Source!I114</f>
        <v>0</v>
      </c>
      <c r="CY40">
        <f t="shared" si="0"/>
        <v>443.96</v>
      </c>
      <c r="CZ40">
        <f t="shared" si="1"/>
        <v>90.15</v>
      </c>
      <c r="DA40">
        <f t="shared" si="2"/>
        <v>4.91</v>
      </c>
      <c r="DB40">
        <v>0</v>
      </c>
    </row>
    <row r="41" spans="1:106" x14ac:dyDescent="0.2">
      <c r="A41">
        <f>ROW(Source!A114)</f>
        <v>114</v>
      </c>
      <c r="B41">
        <v>90163004</v>
      </c>
      <c r="C41">
        <v>90165070</v>
      </c>
      <c r="D41">
        <v>20685154</v>
      </c>
      <c r="E41">
        <v>7157832</v>
      </c>
      <c r="F41">
        <v>1</v>
      </c>
      <c r="G41">
        <v>7157832</v>
      </c>
      <c r="H41">
        <v>3</v>
      </c>
      <c r="I41" t="s">
        <v>340</v>
      </c>
      <c r="J41" t="s">
        <v>3</v>
      </c>
      <c r="K41" t="s">
        <v>341</v>
      </c>
      <c r="L41">
        <v>1354</v>
      </c>
      <c r="N41">
        <v>16987630</v>
      </c>
      <c r="O41" t="s">
        <v>342</v>
      </c>
      <c r="P41" t="s">
        <v>342</v>
      </c>
      <c r="Q41">
        <v>1</v>
      </c>
      <c r="W41">
        <v>0</v>
      </c>
      <c r="X41">
        <v>-414415207</v>
      </c>
      <c r="Y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1</v>
      </c>
      <c r="AJ41">
        <v>1</v>
      </c>
      <c r="AK41">
        <v>1</v>
      </c>
      <c r="AL41">
        <v>1</v>
      </c>
      <c r="AN41">
        <v>0</v>
      </c>
      <c r="AO41">
        <v>0</v>
      </c>
      <c r="AP41">
        <v>1</v>
      </c>
      <c r="AQ41">
        <v>0</v>
      </c>
      <c r="AR41">
        <v>0</v>
      </c>
      <c r="AS41" t="s">
        <v>3</v>
      </c>
      <c r="AT41">
        <v>14</v>
      </c>
      <c r="AU41" t="s">
        <v>164</v>
      </c>
      <c r="AV41">
        <v>0</v>
      </c>
      <c r="AW41">
        <v>2</v>
      </c>
      <c r="AX41">
        <v>90165097</v>
      </c>
      <c r="AY41">
        <v>1</v>
      </c>
      <c r="AZ41">
        <v>0</v>
      </c>
      <c r="BA41">
        <v>39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CX41">
        <f>Y41*Source!I114</f>
        <v>0</v>
      </c>
      <c r="CY41">
        <f t="shared" si="0"/>
        <v>0</v>
      </c>
      <c r="CZ41">
        <f t="shared" si="1"/>
        <v>0</v>
      </c>
      <c r="DA41">
        <f t="shared" si="2"/>
        <v>1</v>
      </c>
      <c r="DB41">
        <v>0</v>
      </c>
    </row>
    <row r="42" spans="1:106" x14ac:dyDescent="0.2">
      <c r="A42">
        <f>ROW(Source!A114)</f>
        <v>114</v>
      </c>
      <c r="B42">
        <v>90163004</v>
      </c>
      <c r="C42">
        <v>90165070</v>
      </c>
      <c r="D42">
        <v>7178521</v>
      </c>
      <c r="E42">
        <v>7157832</v>
      </c>
      <c r="F42">
        <v>1</v>
      </c>
      <c r="G42">
        <v>7157832</v>
      </c>
      <c r="H42">
        <v>3</v>
      </c>
      <c r="I42" t="s">
        <v>343</v>
      </c>
      <c r="J42" t="s">
        <v>3</v>
      </c>
      <c r="K42" t="s">
        <v>344</v>
      </c>
      <c r="L42">
        <v>1339</v>
      </c>
      <c r="N42">
        <v>1007</v>
      </c>
      <c r="O42" t="s">
        <v>30</v>
      </c>
      <c r="P42" t="s">
        <v>30</v>
      </c>
      <c r="Q42">
        <v>1</v>
      </c>
      <c r="W42">
        <v>0</v>
      </c>
      <c r="X42">
        <v>-1175628335</v>
      </c>
      <c r="Y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1</v>
      </c>
      <c r="AJ42">
        <v>1</v>
      </c>
      <c r="AK42">
        <v>1</v>
      </c>
      <c r="AL42">
        <v>1</v>
      </c>
      <c r="AN42">
        <v>0</v>
      </c>
      <c r="AO42">
        <v>0</v>
      </c>
      <c r="AP42">
        <v>1</v>
      </c>
      <c r="AQ42">
        <v>0</v>
      </c>
      <c r="AR42">
        <v>0</v>
      </c>
      <c r="AS42" t="s">
        <v>3</v>
      </c>
      <c r="AT42">
        <v>51.8</v>
      </c>
      <c r="AU42" t="s">
        <v>164</v>
      </c>
      <c r="AV42">
        <v>0</v>
      </c>
      <c r="AW42">
        <v>2</v>
      </c>
      <c r="AX42">
        <v>90165098</v>
      </c>
      <c r="AY42">
        <v>1</v>
      </c>
      <c r="AZ42">
        <v>0</v>
      </c>
      <c r="BA42">
        <v>40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  <c r="BS42">
        <v>0</v>
      </c>
      <c r="BT42">
        <v>0</v>
      </c>
      <c r="BU42">
        <v>0</v>
      </c>
      <c r="BV42">
        <v>0</v>
      </c>
      <c r="BW42">
        <v>0</v>
      </c>
      <c r="CX42">
        <f>Y42*Source!I114</f>
        <v>0</v>
      </c>
      <c r="CY42">
        <f t="shared" si="0"/>
        <v>0</v>
      </c>
      <c r="CZ42">
        <f t="shared" si="1"/>
        <v>0</v>
      </c>
      <c r="DA42">
        <f t="shared" si="2"/>
        <v>1</v>
      </c>
      <c r="DB42">
        <v>0</v>
      </c>
    </row>
    <row r="43" spans="1:106" x14ac:dyDescent="0.2">
      <c r="A43">
        <f>ROW(Source!A114)</f>
        <v>114</v>
      </c>
      <c r="B43">
        <v>90163004</v>
      </c>
      <c r="C43">
        <v>90165070</v>
      </c>
      <c r="D43">
        <v>7178714</v>
      </c>
      <c r="E43">
        <v>7157832</v>
      </c>
      <c r="F43">
        <v>1</v>
      </c>
      <c r="G43">
        <v>7157832</v>
      </c>
      <c r="H43">
        <v>3</v>
      </c>
      <c r="I43" t="s">
        <v>345</v>
      </c>
      <c r="J43" t="s">
        <v>3</v>
      </c>
      <c r="K43" t="s">
        <v>346</v>
      </c>
      <c r="L43">
        <v>1339</v>
      </c>
      <c r="N43">
        <v>1007</v>
      </c>
      <c r="O43" t="s">
        <v>30</v>
      </c>
      <c r="P43" t="s">
        <v>30</v>
      </c>
      <c r="Q43">
        <v>1</v>
      </c>
      <c r="W43">
        <v>0</v>
      </c>
      <c r="X43">
        <v>2002443370</v>
      </c>
      <c r="Y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1</v>
      </c>
      <c r="AJ43">
        <v>1</v>
      </c>
      <c r="AK43">
        <v>1</v>
      </c>
      <c r="AL43">
        <v>1</v>
      </c>
      <c r="AN43">
        <v>0</v>
      </c>
      <c r="AO43">
        <v>0</v>
      </c>
      <c r="AP43">
        <v>1</v>
      </c>
      <c r="AQ43">
        <v>0</v>
      </c>
      <c r="AR43">
        <v>0</v>
      </c>
      <c r="AS43" t="s">
        <v>3</v>
      </c>
      <c r="AT43">
        <v>2.9</v>
      </c>
      <c r="AU43" t="s">
        <v>164</v>
      </c>
      <c r="AV43">
        <v>0</v>
      </c>
      <c r="AW43">
        <v>2</v>
      </c>
      <c r="AX43">
        <v>90165099</v>
      </c>
      <c r="AY43">
        <v>1</v>
      </c>
      <c r="AZ43">
        <v>0</v>
      </c>
      <c r="BA43">
        <v>41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0</v>
      </c>
      <c r="BW43">
        <v>0</v>
      </c>
      <c r="CX43">
        <f>Y43*Source!I114</f>
        <v>0</v>
      </c>
      <c r="CY43">
        <f t="shared" si="0"/>
        <v>0</v>
      </c>
      <c r="CZ43">
        <f t="shared" si="1"/>
        <v>0</v>
      </c>
      <c r="DA43">
        <f t="shared" si="2"/>
        <v>1</v>
      </c>
      <c r="DB43">
        <v>0</v>
      </c>
    </row>
    <row r="44" spans="1:106" x14ac:dyDescent="0.2">
      <c r="A44">
        <f>ROW(Source!A114)</f>
        <v>114</v>
      </c>
      <c r="B44">
        <v>90163004</v>
      </c>
      <c r="C44">
        <v>90165070</v>
      </c>
      <c r="D44">
        <v>7181116</v>
      </c>
      <c r="E44">
        <v>7157832</v>
      </c>
      <c r="F44">
        <v>1</v>
      </c>
      <c r="G44">
        <v>7157832</v>
      </c>
      <c r="H44">
        <v>3</v>
      </c>
      <c r="I44" t="s">
        <v>347</v>
      </c>
      <c r="J44" t="s">
        <v>3</v>
      </c>
      <c r="K44" t="s">
        <v>348</v>
      </c>
      <c r="L44">
        <v>1339</v>
      </c>
      <c r="N44">
        <v>1007</v>
      </c>
      <c r="O44" t="s">
        <v>30</v>
      </c>
      <c r="P44" t="s">
        <v>30</v>
      </c>
      <c r="Q44">
        <v>1</v>
      </c>
      <c r="W44">
        <v>0</v>
      </c>
      <c r="X44">
        <v>-907671549</v>
      </c>
      <c r="Y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1</v>
      </c>
      <c r="AK44">
        <v>1</v>
      </c>
      <c r="AL44">
        <v>1</v>
      </c>
      <c r="AN44">
        <v>0</v>
      </c>
      <c r="AO44">
        <v>0</v>
      </c>
      <c r="AP44">
        <v>1</v>
      </c>
      <c r="AQ44">
        <v>0</v>
      </c>
      <c r="AR44">
        <v>0</v>
      </c>
      <c r="AS44" t="s">
        <v>3</v>
      </c>
      <c r="AT44">
        <v>52.8</v>
      </c>
      <c r="AU44" t="s">
        <v>164</v>
      </c>
      <c r="AV44">
        <v>0</v>
      </c>
      <c r="AW44">
        <v>2</v>
      </c>
      <c r="AX44">
        <v>90165100</v>
      </c>
      <c r="AY44">
        <v>1</v>
      </c>
      <c r="AZ44">
        <v>0</v>
      </c>
      <c r="BA44">
        <v>42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0</v>
      </c>
      <c r="BW44">
        <v>0</v>
      </c>
      <c r="CX44">
        <f>Y44*Source!I114</f>
        <v>0</v>
      </c>
      <c r="CY44">
        <f t="shared" si="0"/>
        <v>0</v>
      </c>
      <c r="CZ44">
        <f t="shared" si="1"/>
        <v>0</v>
      </c>
      <c r="DA44">
        <f t="shared" si="2"/>
        <v>1</v>
      </c>
      <c r="DB44">
        <v>0</v>
      </c>
    </row>
    <row r="45" spans="1:106" x14ac:dyDescent="0.2">
      <c r="A45">
        <f>ROW(Source!A115)</f>
        <v>115</v>
      </c>
      <c r="B45">
        <v>90163004</v>
      </c>
      <c r="C45">
        <v>90165101</v>
      </c>
      <c r="D45">
        <v>7159942</v>
      </c>
      <c r="E45">
        <v>7157832</v>
      </c>
      <c r="F45">
        <v>1</v>
      </c>
      <c r="G45">
        <v>7157832</v>
      </c>
      <c r="H45">
        <v>2</v>
      </c>
      <c r="I45" t="s">
        <v>279</v>
      </c>
      <c r="J45" t="s">
        <v>3</v>
      </c>
      <c r="K45" t="s">
        <v>280</v>
      </c>
      <c r="L45">
        <v>1344</v>
      </c>
      <c r="N45">
        <v>1008</v>
      </c>
      <c r="O45" t="s">
        <v>281</v>
      </c>
      <c r="P45" t="s">
        <v>281</v>
      </c>
      <c r="Q45">
        <v>1</v>
      </c>
      <c r="W45">
        <v>0</v>
      </c>
      <c r="X45">
        <v>-450565604</v>
      </c>
      <c r="Y45">
        <v>9.7460000000000004</v>
      </c>
      <c r="AA45">
        <v>0</v>
      </c>
      <c r="AB45">
        <v>1.05</v>
      </c>
      <c r="AC45">
        <v>0</v>
      </c>
      <c r="AD45">
        <v>0</v>
      </c>
      <c r="AE45">
        <v>0</v>
      </c>
      <c r="AF45">
        <v>1</v>
      </c>
      <c r="AG45">
        <v>0</v>
      </c>
      <c r="AH45">
        <v>0</v>
      </c>
      <c r="AI45">
        <v>1</v>
      </c>
      <c r="AJ45">
        <v>1</v>
      </c>
      <c r="AK45">
        <v>1</v>
      </c>
      <c r="AL45">
        <v>1</v>
      </c>
      <c r="AN45">
        <v>0</v>
      </c>
      <c r="AO45">
        <v>1</v>
      </c>
      <c r="AP45">
        <v>1</v>
      </c>
      <c r="AQ45">
        <v>0</v>
      </c>
      <c r="AR45">
        <v>0</v>
      </c>
      <c r="AS45" t="s">
        <v>3</v>
      </c>
      <c r="AT45">
        <v>8.86</v>
      </c>
      <c r="AU45" t="s">
        <v>172</v>
      </c>
      <c r="AV45">
        <v>0</v>
      </c>
      <c r="AW45">
        <v>2</v>
      </c>
      <c r="AX45">
        <v>90165103</v>
      </c>
      <c r="AY45">
        <v>1</v>
      </c>
      <c r="AZ45">
        <v>0</v>
      </c>
      <c r="BA45">
        <v>43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0</v>
      </c>
      <c r="BW45">
        <v>0</v>
      </c>
      <c r="CX45">
        <f>Y45*Source!I115</f>
        <v>220.20112400000002</v>
      </c>
      <c r="CY45">
        <f>AB45</f>
        <v>1.05</v>
      </c>
      <c r="CZ45">
        <f>AF45</f>
        <v>1</v>
      </c>
      <c r="DA45">
        <f>AJ45</f>
        <v>1</v>
      </c>
      <c r="DB45">
        <v>0</v>
      </c>
    </row>
    <row r="46" spans="1:106" x14ac:dyDescent="0.2">
      <c r="A46">
        <f>ROW(Source!A116)</f>
        <v>116</v>
      </c>
      <c r="B46">
        <v>90163004</v>
      </c>
      <c r="C46">
        <v>90165104</v>
      </c>
      <c r="D46">
        <v>7182702</v>
      </c>
      <c r="E46">
        <v>7157832</v>
      </c>
      <c r="F46">
        <v>1</v>
      </c>
      <c r="G46">
        <v>7157832</v>
      </c>
      <c r="H46">
        <v>3</v>
      </c>
      <c r="I46" t="s">
        <v>37</v>
      </c>
      <c r="J46" t="s">
        <v>3</v>
      </c>
      <c r="K46" t="s">
        <v>38</v>
      </c>
      <c r="L46">
        <v>1348</v>
      </c>
      <c r="N46">
        <v>1009</v>
      </c>
      <c r="O46" t="s">
        <v>39</v>
      </c>
      <c r="P46" t="s">
        <v>39</v>
      </c>
      <c r="Q46">
        <v>1000</v>
      </c>
      <c r="W46">
        <v>1</v>
      </c>
      <c r="X46">
        <v>-1541367988</v>
      </c>
      <c r="Y46">
        <v>-9.2813999999999994E-2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1</v>
      </c>
      <c r="AJ46">
        <v>1</v>
      </c>
      <c r="AK46">
        <v>1</v>
      </c>
      <c r="AL46">
        <v>1</v>
      </c>
      <c r="AN46">
        <v>0</v>
      </c>
      <c r="AO46">
        <v>1</v>
      </c>
      <c r="AP46">
        <v>1</v>
      </c>
      <c r="AQ46">
        <v>0</v>
      </c>
      <c r="AR46">
        <v>0</v>
      </c>
      <c r="AS46" t="s">
        <v>3</v>
      </c>
      <c r="AT46">
        <v>-0.31</v>
      </c>
      <c r="AU46" t="s">
        <v>182</v>
      </c>
      <c r="AV46">
        <v>0</v>
      </c>
      <c r="AW46">
        <v>2</v>
      </c>
      <c r="AX46">
        <v>90165130</v>
      </c>
      <c r="AY46">
        <v>1</v>
      </c>
      <c r="AZ46">
        <v>6144</v>
      </c>
      <c r="BA46">
        <v>44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CX46">
        <f>Y46*Source!I116</f>
        <v>-9.2813999999999994E-2</v>
      </c>
      <c r="CY46">
        <f>AA46</f>
        <v>0</v>
      </c>
      <c r="CZ46">
        <f>AE46</f>
        <v>0</v>
      </c>
      <c r="DA46">
        <f>AI46</f>
        <v>1</v>
      </c>
      <c r="DB46">
        <v>0</v>
      </c>
    </row>
    <row r="47" spans="1:106" x14ac:dyDescent="0.2">
      <c r="A47">
        <f>ROW(Source!A116)</f>
        <v>116</v>
      </c>
      <c r="B47">
        <v>90163004</v>
      </c>
      <c r="C47">
        <v>90165104</v>
      </c>
      <c r="D47">
        <v>7182705</v>
      </c>
      <c r="E47">
        <v>7157832</v>
      </c>
      <c r="F47">
        <v>1</v>
      </c>
      <c r="G47">
        <v>7157832</v>
      </c>
      <c r="H47">
        <v>3</v>
      </c>
      <c r="I47" t="s">
        <v>37</v>
      </c>
      <c r="J47" t="s">
        <v>3</v>
      </c>
      <c r="K47" t="s">
        <v>41</v>
      </c>
      <c r="L47">
        <v>1339</v>
      </c>
      <c r="N47">
        <v>1007</v>
      </c>
      <c r="O47" t="s">
        <v>30</v>
      </c>
      <c r="P47" t="s">
        <v>30</v>
      </c>
      <c r="Q47">
        <v>1</v>
      </c>
      <c r="W47">
        <v>1</v>
      </c>
      <c r="X47">
        <v>-589967668</v>
      </c>
      <c r="Y47">
        <v>-6.6496740000000001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1</v>
      </c>
      <c r="AN47">
        <v>0</v>
      </c>
      <c r="AO47">
        <v>1</v>
      </c>
      <c r="AP47">
        <v>1</v>
      </c>
      <c r="AQ47">
        <v>0</v>
      </c>
      <c r="AR47">
        <v>0</v>
      </c>
      <c r="AS47" t="s">
        <v>3</v>
      </c>
      <c r="AT47">
        <v>-22.21</v>
      </c>
      <c r="AU47" t="s">
        <v>182</v>
      </c>
      <c r="AV47">
        <v>0</v>
      </c>
      <c r="AW47">
        <v>2</v>
      </c>
      <c r="AX47">
        <v>90165131</v>
      </c>
      <c r="AY47">
        <v>1</v>
      </c>
      <c r="AZ47">
        <v>6144</v>
      </c>
      <c r="BA47">
        <v>45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  <c r="BS47">
        <v>0</v>
      </c>
      <c r="BT47">
        <v>0</v>
      </c>
      <c r="BU47">
        <v>0</v>
      </c>
      <c r="BV47">
        <v>0</v>
      </c>
      <c r="BW47">
        <v>0</v>
      </c>
      <c r="CX47">
        <f>Y47*Source!I116</f>
        <v>-6.6496740000000001</v>
      </c>
      <c r="CY47">
        <f>AA47</f>
        <v>0</v>
      </c>
      <c r="CZ47">
        <f>AE47</f>
        <v>0</v>
      </c>
      <c r="DA47">
        <f>AI47</f>
        <v>1</v>
      </c>
      <c r="DB47">
        <v>0</v>
      </c>
    </row>
    <row r="48" spans="1:106" x14ac:dyDescent="0.2">
      <c r="A48">
        <f>ROW(Source!A120)</f>
        <v>120</v>
      </c>
      <c r="B48">
        <v>90163004</v>
      </c>
      <c r="C48">
        <v>90165114</v>
      </c>
      <c r="D48">
        <v>7182705</v>
      </c>
      <c r="E48">
        <v>7157832</v>
      </c>
      <c r="F48">
        <v>1</v>
      </c>
      <c r="G48">
        <v>7157832</v>
      </c>
      <c r="H48">
        <v>3</v>
      </c>
      <c r="I48" t="s">
        <v>37</v>
      </c>
      <c r="J48" t="s">
        <v>3</v>
      </c>
      <c r="K48" t="s">
        <v>41</v>
      </c>
      <c r="L48">
        <v>1339</v>
      </c>
      <c r="N48">
        <v>1007</v>
      </c>
      <c r="O48" t="s">
        <v>30</v>
      </c>
      <c r="P48" t="s">
        <v>30</v>
      </c>
      <c r="Q48">
        <v>1</v>
      </c>
      <c r="W48">
        <v>1</v>
      </c>
      <c r="X48">
        <v>-589967668</v>
      </c>
      <c r="Y48">
        <v>-0.2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1</v>
      </c>
      <c r="AJ48">
        <v>1</v>
      </c>
      <c r="AK48">
        <v>1</v>
      </c>
      <c r="AL48">
        <v>1</v>
      </c>
      <c r="AN48">
        <v>0</v>
      </c>
      <c r="AO48">
        <v>1</v>
      </c>
      <c r="AP48">
        <v>1</v>
      </c>
      <c r="AQ48">
        <v>0</v>
      </c>
      <c r="AR48">
        <v>0</v>
      </c>
      <c r="AS48" t="s">
        <v>3</v>
      </c>
      <c r="AT48">
        <v>-0.2</v>
      </c>
      <c r="AU48" t="s">
        <v>3</v>
      </c>
      <c r="AV48">
        <v>0</v>
      </c>
      <c r="AW48">
        <v>2</v>
      </c>
      <c r="AX48">
        <v>90165116</v>
      </c>
      <c r="AY48">
        <v>1</v>
      </c>
      <c r="AZ48">
        <v>6144</v>
      </c>
      <c r="BA48">
        <v>46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0</v>
      </c>
      <c r="CX48">
        <f>Y48*Source!I120</f>
        <v>-19.600000000000001</v>
      </c>
      <c r="CY48">
        <f>AA48</f>
        <v>0</v>
      </c>
      <c r="CZ48">
        <f>AE48</f>
        <v>0</v>
      </c>
      <c r="DA48">
        <f>AI48</f>
        <v>1</v>
      </c>
      <c r="DB48">
        <v>0</v>
      </c>
    </row>
    <row r="49" spans="1:106" x14ac:dyDescent="0.2">
      <c r="A49">
        <f>ROW(Source!A122)</f>
        <v>122</v>
      </c>
      <c r="B49">
        <v>90163004</v>
      </c>
      <c r="C49">
        <v>90165118</v>
      </c>
      <c r="D49">
        <v>7157835</v>
      </c>
      <c r="E49">
        <v>7157832</v>
      </c>
      <c r="F49">
        <v>1</v>
      </c>
      <c r="G49">
        <v>7157832</v>
      </c>
      <c r="H49">
        <v>1</v>
      </c>
      <c r="I49" t="s">
        <v>276</v>
      </c>
      <c r="J49" t="s">
        <v>3</v>
      </c>
      <c r="K49" t="s">
        <v>277</v>
      </c>
      <c r="L49">
        <v>1191</v>
      </c>
      <c r="N49">
        <v>1013</v>
      </c>
      <c r="O49" t="s">
        <v>278</v>
      </c>
      <c r="P49" t="s">
        <v>278</v>
      </c>
      <c r="Q49">
        <v>1</v>
      </c>
      <c r="W49">
        <v>0</v>
      </c>
      <c r="X49">
        <v>946207192</v>
      </c>
      <c r="Y49">
        <v>1.38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1</v>
      </c>
      <c r="AJ49">
        <v>1</v>
      </c>
      <c r="AK49">
        <v>1</v>
      </c>
      <c r="AL49">
        <v>1</v>
      </c>
      <c r="AN49">
        <v>0</v>
      </c>
      <c r="AO49">
        <v>1</v>
      </c>
      <c r="AP49">
        <v>0</v>
      </c>
      <c r="AQ49">
        <v>0</v>
      </c>
      <c r="AR49">
        <v>0</v>
      </c>
      <c r="AS49" t="s">
        <v>3</v>
      </c>
      <c r="AT49">
        <v>1.38</v>
      </c>
      <c r="AU49" t="s">
        <v>3</v>
      </c>
      <c r="AV49">
        <v>1</v>
      </c>
      <c r="AW49">
        <v>2</v>
      </c>
      <c r="AX49">
        <v>90165122</v>
      </c>
      <c r="AY49">
        <v>1</v>
      </c>
      <c r="AZ49">
        <v>0</v>
      </c>
      <c r="BA49">
        <v>47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  <c r="BS49">
        <v>0</v>
      </c>
      <c r="BT49">
        <v>0</v>
      </c>
      <c r="BU49">
        <v>0</v>
      </c>
      <c r="BV49">
        <v>0</v>
      </c>
      <c r="BW49">
        <v>0</v>
      </c>
      <c r="CX49">
        <f>Y49*Source!I122</f>
        <v>0.36224999999999996</v>
      </c>
      <c r="CY49">
        <f>AD49</f>
        <v>0</v>
      </c>
      <c r="CZ49">
        <f>AH49</f>
        <v>0</v>
      </c>
      <c r="DA49">
        <f>AL49</f>
        <v>1</v>
      </c>
      <c r="DB49">
        <v>0</v>
      </c>
    </row>
    <row r="50" spans="1:106" x14ac:dyDescent="0.2">
      <c r="A50">
        <f>ROW(Source!A122)</f>
        <v>122</v>
      </c>
      <c r="B50">
        <v>90163004</v>
      </c>
      <c r="C50">
        <v>90165118</v>
      </c>
      <c r="D50">
        <v>7230725</v>
      </c>
      <c r="E50">
        <v>1</v>
      </c>
      <c r="F50">
        <v>1</v>
      </c>
      <c r="G50">
        <v>7157832</v>
      </c>
      <c r="H50">
        <v>2</v>
      </c>
      <c r="I50" t="s">
        <v>308</v>
      </c>
      <c r="J50" t="s">
        <v>309</v>
      </c>
      <c r="K50" t="s">
        <v>310</v>
      </c>
      <c r="L50">
        <v>1368</v>
      </c>
      <c r="N50">
        <v>1011</v>
      </c>
      <c r="O50" t="s">
        <v>286</v>
      </c>
      <c r="P50" t="s">
        <v>286</v>
      </c>
      <c r="Q50">
        <v>1</v>
      </c>
      <c r="W50">
        <v>0</v>
      </c>
      <c r="X50">
        <v>419869572</v>
      </c>
      <c r="Y50">
        <v>3.9874999999999998</v>
      </c>
      <c r="AA50">
        <v>0</v>
      </c>
      <c r="AB50">
        <v>1469.28</v>
      </c>
      <c r="AC50">
        <v>595.23</v>
      </c>
      <c r="AD50">
        <v>0</v>
      </c>
      <c r="AE50">
        <v>0</v>
      </c>
      <c r="AF50">
        <v>162.4</v>
      </c>
      <c r="AG50">
        <v>28.6</v>
      </c>
      <c r="AH50">
        <v>0</v>
      </c>
      <c r="AI50">
        <v>1</v>
      </c>
      <c r="AJ50">
        <v>7.59</v>
      </c>
      <c r="AK50">
        <v>17.46</v>
      </c>
      <c r="AL50">
        <v>1</v>
      </c>
      <c r="AN50">
        <v>0</v>
      </c>
      <c r="AO50">
        <v>1</v>
      </c>
      <c r="AP50">
        <v>0</v>
      </c>
      <c r="AQ50">
        <v>0</v>
      </c>
      <c r="AR50">
        <v>0</v>
      </c>
      <c r="AS50" t="s">
        <v>3</v>
      </c>
      <c r="AT50">
        <v>3.9874999999999998</v>
      </c>
      <c r="AU50" t="s">
        <v>3</v>
      </c>
      <c r="AV50">
        <v>0</v>
      </c>
      <c r="AW50">
        <v>2</v>
      </c>
      <c r="AX50">
        <v>90165123</v>
      </c>
      <c r="AY50">
        <v>1</v>
      </c>
      <c r="AZ50">
        <v>0</v>
      </c>
      <c r="BA50">
        <v>48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  <c r="BS50">
        <v>0</v>
      </c>
      <c r="BT50">
        <v>0</v>
      </c>
      <c r="BU50">
        <v>0</v>
      </c>
      <c r="BV50">
        <v>0</v>
      </c>
      <c r="BW50">
        <v>0</v>
      </c>
      <c r="CX50">
        <f>Y50*Source!I122</f>
        <v>1.0467187499999999</v>
      </c>
      <c r="CY50">
        <f>AB50</f>
        <v>1469.28</v>
      </c>
      <c r="CZ50">
        <f>AF50</f>
        <v>162.4</v>
      </c>
      <c r="DA50">
        <f>AJ50</f>
        <v>7.59</v>
      </c>
      <c r="DB50">
        <v>0</v>
      </c>
    </row>
    <row r="51" spans="1:106" x14ac:dyDescent="0.2">
      <c r="A51">
        <f>ROW(Source!A122)</f>
        <v>122</v>
      </c>
      <c r="B51">
        <v>90163004</v>
      </c>
      <c r="C51">
        <v>90165118</v>
      </c>
      <c r="D51">
        <v>7230750</v>
      </c>
      <c r="E51">
        <v>1</v>
      </c>
      <c r="F51">
        <v>1</v>
      </c>
      <c r="G51">
        <v>7157832</v>
      </c>
      <c r="H51">
        <v>2</v>
      </c>
      <c r="I51" t="s">
        <v>311</v>
      </c>
      <c r="J51" t="s">
        <v>312</v>
      </c>
      <c r="K51" t="s">
        <v>313</v>
      </c>
      <c r="L51">
        <v>1368</v>
      </c>
      <c r="N51">
        <v>1011</v>
      </c>
      <c r="O51" t="s">
        <v>286</v>
      </c>
      <c r="P51" t="s">
        <v>286</v>
      </c>
      <c r="Q51">
        <v>1</v>
      </c>
      <c r="W51">
        <v>0</v>
      </c>
      <c r="X51">
        <v>1610179075</v>
      </c>
      <c r="Y51">
        <v>0.997</v>
      </c>
      <c r="AA51">
        <v>0</v>
      </c>
      <c r="AB51">
        <v>909.91</v>
      </c>
      <c r="AC51">
        <v>551.94000000000005</v>
      </c>
      <c r="AD51">
        <v>0</v>
      </c>
      <c r="AE51">
        <v>0</v>
      </c>
      <c r="AF51">
        <v>110.31</v>
      </c>
      <c r="AG51">
        <v>26.52</v>
      </c>
      <c r="AH51">
        <v>0</v>
      </c>
      <c r="AI51">
        <v>1</v>
      </c>
      <c r="AJ51">
        <v>6.92</v>
      </c>
      <c r="AK51">
        <v>17.46</v>
      </c>
      <c r="AL51">
        <v>1</v>
      </c>
      <c r="AN51">
        <v>0</v>
      </c>
      <c r="AO51">
        <v>1</v>
      </c>
      <c r="AP51">
        <v>0</v>
      </c>
      <c r="AQ51">
        <v>0</v>
      </c>
      <c r="AR51">
        <v>0</v>
      </c>
      <c r="AS51" t="s">
        <v>3</v>
      </c>
      <c r="AT51">
        <v>0.997</v>
      </c>
      <c r="AU51" t="s">
        <v>3</v>
      </c>
      <c r="AV51">
        <v>0</v>
      </c>
      <c r="AW51">
        <v>2</v>
      </c>
      <c r="AX51">
        <v>90165124</v>
      </c>
      <c r="AY51">
        <v>1</v>
      </c>
      <c r="AZ51">
        <v>0</v>
      </c>
      <c r="BA51">
        <v>49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  <c r="BS51">
        <v>0</v>
      </c>
      <c r="BT51">
        <v>0</v>
      </c>
      <c r="BU51">
        <v>0</v>
      </c>
      <c r="BV51">
        <v>0</v>
      </c>
      <c r="BW51">
        <v>0</v>
      </c>
      <c r="CX51">
        <f>Y51*Source!I122</f>
        <v>0.26171250000000001</v>
      </c>
      <c r="CY51">
        <f>AB51</f>
        <v>909.91</v>
      </c>
      <c r="CZ51">
        <f>AF51</f>
        <v>110.31</v>
      </c>
      <c r="DA51">
        <f>AJ51</f>
        <v>6.92</v>
      </c>
      <c r="DB51">
        <v>0</v>
      </c>
    </row>
    <row r="52" spans="1:106" x14ac:dyDescent="0.2">
      <c r="A52">
        <f>ROW(Source!A159)</f>
        <v>159</v>
      </c>
      <c r="B52">
        <v>90163004</v>
      </c>
      <c r="C52">
        <v>90166819</v>
      </c>
      <c r="D52">
        <v>7182702</v>
      </c>
      <c r="E52">
        <v>7157832</v>
      </c>
      <c r="F52">
        <v>1</v>
      </c>
      <c r="G52">
        <v>7157832</v>
      </c>
      <c r="H52">
        <v>3</v>
      </c>
      <c r="I52" t="s">
        <v>37</v>
      </c>
      <c r="J52" t="s">
        <v>3</v>
      </c>
      <c r="K52" t="s">
        <v>38</v>
      </c>
      <c r="L52">
        <v>1348</v>
      </c>
      <c r="N52">
        <v>1009</v>
      </c>
      <c r="O52" t="s">
        <v>39</v>
      </c>
      <c r="P52" t="s">
        <v>39</v>
      </c>
      <c r="Q52">
        <v>1000</v>
      </c>
      <c r="W52">
        <v>1</v>
      </c>
      <c r="X52">
        <v>-1541367988</v>
      </c>
      <c r="Y52">
        <v>-0.21669312000000002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1</v>
      </c>
      <c r="AJ52">
        <v>1</v>
      </c>
      <c r="AK52">
        <v>1</v>
      </c>
      <c r="AL52">
        <v>1</v>
      </c>
      <c r="AN52">
        <v>0</v>
      </c>
      <c r="AO52">
        <v>0</v>
      </c>
      <c r="AP52">
        <v>1</v>
      </c>
      <c r="AQ52">
        <v>0</v>
      </c>
      <c r="AR52">
        <v>0</v>
      </c>
      <c r="AS52" t="s">
        <v>3</v>
      </c>
      <c r="AT52">
        <v>-0.235536</v>
      </c>
      <c r="AU52" t="s">
        <v>211</v>
      </c>
      <c r="AV52">
        <v>0</v>
      </c>
      <c r="AW52">
        <v>1</v>
      </c>
      <c r="AX52">
        <v>-1</v>
      </c>
      <c r="AY52">
        <v>0</v>
      </c>
      <c r="AZ52">
        <v>0</v>
      </c>
      <c r="BA52" t="s">
        <v>3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  <c r="BS52">
        <v>0</v>
      </c>
      <c r="BT52">
        <v>0</v>
      </c>
      <c r="BU52">
        <v>0</v>
      </c>
      <c r="BV52">
        <v>0</v>
      </c>
      <c r="BW52">
        <v>0</v>
      </c>
      <c r="CX52">
        <f>Y52*Source!I159</f>
        <v>-0.43338624000000003</v>
      </c>
      <c r="CY52">
        <f t="shared" ref="CY52:CY57" si="3">AA52</f>
        <v>0</v>
      </c>
      <c r="CZ52">
        <f t="shared" ref="CZ52:CZ57" si="4">AE52</f>
        <v>0</v>
      </c>
      <c r="DA52">
        <f t="shared" ref="DA52:DA57" si="5">AI52</f>
        <v>1</v>
      </c>
      <c r="DB52">
        <v>0</v>
      </c>
    </row>
    <row r="53" spans="1:106" x14ac:dyDescent="0.2">
      <c r="A53">
        <f>ROW(Source!A159)</f>
        <v>159</v>
      </c>
      <c r="B53">
        <v>90163004</v>
      </c>
      <c r="C53">
        <v>90166819</v>
      </c>
      <c r="D53">
        <v>7182705</v>
      </c>
      <c r="E53">
        <v>7157832</v>
      </c>
      <c r="F53">
        <v>1</v>
      </c>
      <c r="G53">
        <v>7157832</v>
      </c>
      <c r="H53">
        <v>3</v>
      </c>
      <c r="I53" t="s">
        <v>37</v>
      </c>
      <c r="J53" t="s">
        <v>3</v>
      </c>
      <c r="K53" t="s">
        <v>41</v>
      </c>
      <c r="L53">
        <v>1339</v>
      </c>
      <c r="N53">
        <v>1007</v>
      </c>
      <c r="O53" t="s">
        <v>30</v>
      </c>
      <c r="P53" t="s">
        <v>30</v>
      </c>
      <c r="Q53">
        <v>1</v>
      </c>
      <c r="W53">
        <v>1</v>
      </c>
      <c r="X53">
        <v>-589967668</v>
      </c>
      <c r="Y53">
        <v>-15.432935600000002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1</v>
      </c>
      <c r="AJ53">
        <v>1</v>
      </c>
      <c r="AK53">
        <v>1</v>
      </c>
      <c r="AL53">
        <v>1</v>
      </c>
      <c r="AN53">
        <v>0</v>
      </c>
      <c r="AO53">
        <v>0</v>
      </c>
      <c r="AP53">
        <v>1</v>
      </c>
      <c r="AQ53">
        <v>0</v>
      </c>
      <c r="AR53">
        <v>0</v>
      </c>
      <c r="AS53" t="s">
        <v>3</v>
      </c>
      <c r="AT53">
        <v>-16.774929999999998</v>
      </c>
      <c r="AU53" t="s">
        <v>211</v>
      </c>
      <c r="AV53">
        <v>0</v>
      </c>
      <c r="AW53">
        <v>1</v>
      </c>
      <c r="AX53">
        <v>-1</v>
      </c>
      <c r="AY53">
        <v>0</v>
      </c>
      <c r="AZ53">
        <v>0</v>
      </c>
      <c r="BA53" t="s">
        <v>3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  <c r="BS53">
        <v>0</v>
      </c>
      <c r="BT53">
        <v>0</v>
      </c>
      <c r="BU53">
        <v>0</v>
      </c>
      <c r="BV53">
        <v>0</v>
      </c>
      <c r="BW53">
        <v>0</v>
      </c>
      <c r="CX53">
        <f>Y53*Source!I159</f>
        <v>-30.865871200000004</v>
      </c>
      <c r="CY53">
        <f t="shared" si="3"/>
        <v>0</v>
      </c>
      <c r="CZ53">
        <f t="shared" si="4"/>
        <v>0</v>
      </c>
      <c r="DA53">
        <f t="shared" si="5"/>
        <v>1</v>
      </c>
      <c r="DB53">
        <v>0</v>
      </c>
    </row>
    <row r="54" spans="1:106" x14ac:dyDescent="0.2">
      <c r="A54">
        <f>ROW(Source!A164)</f>
        <v>164</v>
      </c>
      <c r="B54">
        <v>90163004</v>
      </c>
      <c r="C54">
        <v>90163940</v>
      </c>
      <c r="D54">
        <v>7182702</v>
      </c>
      <c r="E54">
        <v>7157832</v>
      </c>
      <c r="F54">
        <v>1</v>
      </c>
      <c r="G54">
        <v>7157832</v>
      </c>
      <c r="H54">
        <v>3</v>
      </c>
      <c r="I54" t="s">
        <v>37</v>
      </c>
      <c r="J54" t="s">
        <v>3</v>
      </c>
      <c r="K54" t="s">
        <v>38</v>
      </c>
      <c r="L54">
        <v>1348</v>
      </c>
      <c r="N54">
        <v>1009</v>
      </c>
      <c r="O54" t="s">
        <v>39</v>
      </c>
      <c r="P54" t="s">
        <v>39</v>
      </c>
      <c r="Q54">
        <v>1000</v>
      </c>
      <c r="W54">
        <v>1</v>
      </c>
      <c r="X54">
        <v>-1541367988</v>
      </c>
      <c r="Y54">
        <v>-0.235536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1</v>
      </c>
      <c r="AJ54">
        <v>1</v>
      </c>
      <c r="AK54">
        <v>1</v>
      </c>
      <c r="AL54">
        <v>1</v>
      </c>
      <c r="AN54">
        <v>0</v>
      </c>
      <c r="AO54">
        <v>1</v>
      </c>
      <c r="AP54">
        <v>1</v>
      </c>
      <c r="AQ54">
        <v>0</v>
      </c>
      <c r="AR54">
        <v>0</v>
      </c>
      <c r="AS54" t="s">
        <v>3</v>
      </c>
      <c r="AT54">
        <v>-0.33600000000000002</v>
      </c>
      <c r="AU54" t="s">
        <v>223</v>
      </c>
      <c r="AV54">
        <v>0</v>
      </c>
      <c r="AW54">
        <v>2</v>
      </c>
      <c r="AX54">
        <v>90163943</v>
      </c>
      <c r="AY54">
        <v>1</v>
      </c>
      <c r="AZ54">
        <v>6144</v>
      </c>
      <c r="BA54">
        <v>50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  <c r="BS54">
        <v>0</v>
      </c>
      <c r="BT54">
        <v>0</v>
      </c>
      <c r="BU54">
        <v>0</v>
      </c>
      <c r="BV54">
        <v>0</v>
      </c>
      <c r="BW54">
        <v>0</v>
      </c>
      <c r="CX54">
        <f>Y54*Source!I164</f>
        <v>-0.235536</v>
      </c>
      <c r="CY54">
        <f t="shared" si="3"/>
        <v>0</v>
      </c>
      <c r="CZ54">
        <f t="shared" si="4"/>
        <v>0</v>
      </c>
      <c r="DA54">
        <f t="shared" si="5"/>
        <v>1</v>
      </c>
      <c r="DB54">
        <v>0</v>
      </c>
    </row>
    <row r="55" spans="1:106" x14ac:dyDescent="0.2">
      <c r="A55">
        <f>ROW(Source!A164)</f>
        <v>164</v>
      </c>
      <c r="B55">
        <v>90163004</v>
      </c>
      <c r="C55">
        <v>90163940</v>
      </c>
      <c r="D55">
        <v>7182705</v>
      </c>
      <c r="E55">
        <v>7157832</v>
      </c>
      <c r="F55">
        <v>1</v>
      </c>
      <c r="G55">
        <v>7157832</v>
      </c>
      <c r="H55">
        <v>3</v>
      </c>
      <c r="I55" t="s">
        <v>37</v>
      </c>
      <c r="J55" t="s">
        <v>3</v>
      </c>
      <c r="K55" t="s">
        <v>41</v>
      </c>
      <c r="L55">
        <v>1339</v>
      </c>
      <c r="N55">
        <v>1007</v>
      </c>
      <c r="O55" t="s">
        <v>30</v>
      </c>
      <c r="P55" t="s">
        <v>30</v>
      </c>
      <c r="Q55">
        <v>1</v>
      </c>
      <c r="W55">
        <v>1</v>
      </c>
      <c r="X55">
        <v>-589967668</v>
      </c>
      <c r="Y55">
        <v>-16.774929999999998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1</v>
      </c>
      <c r="AJ55">
        <v>1</v>
      </c>
      <c r="AK55">
        <v>1</v>
      </c>
      <c r="AL55">
        <v>1</v>
      </c>
      <c r="AN55">
        <v>0</v>
      </c>
      <c r="AO55">
        <v>1</v>
      </c>
      <c r="AP55">
        <v>1</v>
      </c>
      <c r="AQ55">
        <v>0</v>
      </c>
      <c r="AR55">
        <v>0</v>
      </c>
      <c r="AS55" t="s">
        <v>3</v>
      </c>
      <c r="AT55">
        <v>-23.93</v>
      </c>
      <c r="AU55" t="s">
        <v>223</v>
      </c>
      <c r="AV55">
        <v>0</v>
      </c>
      <c r="AW55">
        <v>2</v>
      </c>
      <c r="AX55">
        <v>90163944</v>
      </c>
      <c r="AY55">
        <v>1</v>
      </c>
      <c r="AZ55">
        <v>6144</v>
      </c>
      <c r="BA55">
        <v>51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  <c r="BS55">
        <v>0</v>
      </c>
      <c r="BT55">
        <v>0</v>
      </c>
      <c r="BU55">
        <v>0</v>
      </c>
      <c r="BV55">
        <v>0</v>
      </c>
      <c r="BW55">
        <v>0</v>
      </c>
      <c r="CX55">
        <f>Y55*Source!I164</f>
        <v>-16.774929999999998</v>
      </c>
      <c r="CY55">
        <f t="shared" si="3"/>
        <v>0</v>
      </c>
      <c r="CZ55">
        <f t="shared" si="4"/>
        <v>0</v>
      </c>
      <c r="DA55">
        <f t="shared" si="5"/>
        <v>1</v>
      </c>
      <c r="DB55">
        <v>0</v>
      </c>
    </row>
    <row r="56" spans="1:106" x14ac:dyDescent="0.2">
      <c r="A56">
        <f>ROW(Source!A167)</f>
        <v>167</v>
      </c>
      <c r="B56">
        <v>90163004</v>
      </c>
      <c r="C56">
        <v>90163947</v>
      </c>
      <c r="D56">
        <v>0</v>
      </c>
      <c r="E56">
        <v>0</v>
      </c>
      <c r="F56">
        <v>1</v>
      </c>
      <c r="G56">
        <v>7157832</v>
      </c>
      <c r="H56">
        <v>3</v>
      </c>
      <c r="I56" t="s">
        <v>229</v>
      </c>
      <c r="J56" t="s">
        <v>3</v>
      </c>
      <c r="K56" t="s">
        <v>230</v>
      </c>
      <c r="L56">
        <v>1371</v>
      </c>
      <c r="N56">
        <v>1013</v>
      </c>
      <c r="O56" t="s">
        <v>231</v>
      </c>
      <c r="P56" t="s">
        <v>231</v>
      </c>
      <c r="Q56">
        <v>1</v>
      </c>
      <c r="W56">
        <v>0</v>
      </c>
      <c r="X56">
        <v>537493122</v>
      </c>
      <c r="Y56">
        <v>2</v>
      </c>
      <c r="AA56">
        <v>35840.769999999997</v>
      </c>
      <c r="AB56">
        <v>0</v>
      </c>
      <c r="AC56">
        <v>0</v>
      </c>
      <c r="AD56">
        <v>0</v>
      </c>
      <c r="AE56">
        <v>11130.67</v>
      </c>
      <c r="AF56">
        <v>0</v>
      </c>
      <c r="AG56">
        <v>0</v>
      </c>
      <c r="AH56">
        <v>0</v>
      </c>
      <c r="AI56">
        <v>4.24</v>
      </c>
      <c r="AJ56">
        <v>1</v>
      </c>
      <c r="AK56">
        <v>1</v>
      </c>
      <c r="AL56">
        <v>1</v>
      </c>
      <c r="AN56">
        <v>0</v>
      </c>
      <c r="AO56">
        <v>0</v>
      </c>
      <c r="AP56">
        <v>0</v>
      </c>
      <c r="AQ56">
        <v>0</v>
      </c>
      <c r="AR56">
        <v>0</v>
      </c>
      <c r="AS56" t="s">
        <v>3</v>
      </c>
      <c r="AT56">
        <v>2</v>
      </c>
      <c r="AU56" t="s">
        <v>3</v>
      </c>
      <c r="AV56">
        <v>0</v>
      </c>
      <c r="AW56">
        <v>1</v>
      </c>
      <c r="AX56">
        <v>-1</v>
      </c>
      <c r="AY56">
        <v>0</v>
      </c>
      <c r="AZ56">
        <v>0</v>
      </c>
      <c r="BA56" t="s">
        <v>3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  <c r="BS56">
        <v>0</v>
      </c>
      <c r="BT56">
        <v>0</v>
      </c>
      <c r="BU56">
        <v>0</v>
      </c>
      <c r="BV56">
        <v>0</v>
      </c>
      <c r="BW56">
        <v>0</v>
      </c>
      <c r="CX56">
        <f>Y56*Source!I167</f>
        <v>2</v>
      </c>
      <c r="CY56">
        <f t="shared" si="3"/>
        <v>35840.769999999997</v>
      </c>
      <c r="CZ56">
        <f t="shared" si="4"/>
        <v>11130.67</v>
      </c>
      <c r="DA56">
        <f t="shared" si="5"/>
        <v>4.24</v>
      </c>
      <c r="DB56">
        <v>0</v>
      </c>
    </row>
    <row r="57" spans="1:106" x14ac:dyDescent="0.2">
      <c r="A57">
        <f>ROW(Source!A169)</f>
        <v>169</v>
      </c>
      <c r="B57">
        <v>90163004</v>
      </c>
      <c r="C57">
        <v>90163948</v>
      </c>
      <c r="D57">
        <v>7182705</v>
      </c>
      <c r="E57">
        <v>7157832</v>
      </c>
      <c r="F57">
        <v>1</v>
      </c>
      <c r="G57">
        <v>7157832</v>
      </c>
      <c r="H57">
        <v>3</v>
      </c>
      <c r="I57" t="s">
        <v>37</v>
      </c>
      <c r="J57" t="s">
        <v>3</v>
      </c>
      <c r="K57" t="s">
        <v>41</v>
      </c>
      <c r="L57">
        <v>1339</v>
      </c>
      <c r="N57">
        <v>1007</v>
      </c>
      <c r="O57" t="s">
        <v>30</v>
      </c>
      <c r="P57" t="s">
        <v>30</v>
      </c>
      <c r="Q57">
        <v>1</v>
      </c>
      <c r="W57">
        <v>1</v>
      </c>
      <c r="X57">
        <v>-589967668</v>
      </c>
      <c r="Y57">
        <v>-0.2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1</v>
      </c>
      <c r="AJ57">
        <v>1</v>
      </c>
      <c r="AK57">
        <v>1</v>
      </c>
      <c r="AL57">
        <v>1</v>
      </c>
      <c r="AN57">
        <v>0</v>
      </c>
      <c r="AO57">
        <v>1</v>
      </c>
      <c r="AP57">
        <v>1</v>
      </c>
      <c r="AQ57">
        <v>0</v>
      </c>
      <c r="AR57">
        <v>0</v>
      </c>
      <c r="AS57" t="s">
        <v>3</v>
      </c>
      <c r="AT57">
        <v>-0.2</v>
      </c>
      <c r="AU57" t="s">
        <v>3</v>
      </c>
      <c r="AV57">
        <v>0</v>
      </c>
      <c r="AW57">
        <v>2</v>
      </c>
      <c r="AX57">
        <v>90163950</v>
      </c>
      <c r="AY57">
        <v>1</v>
      </c>
      <c r="AZ57">
        <v>6144</v>
      </c>
      <c r="BA57">
        <v>52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  <c r="BS57">
        <v>0</v>
      </c>
      <c r="BT57">
        <v>0</v>
      </c>
      <c r="BU57">
        <v>0</v>
      </c>
      <c r="BV57">
        <v>0</v>
      </c>
      <c r="BW57">
        <v>0</v>
      </c>
      <c r="CX57">
        <f>Y57*Source!I169</f>
        <v>-46.400000000000006</v>
      </c>
      <c r="CY57">
        <f t="shared" si="3"/>
        <v>0</v>
      </c>
      <c r="CZ57">
        <f t="shared" si="4"/>
        <v>0</v>
      </c>
      <c r="DA57">
        <f t="shared" si="5"/>
        <v>1</v>
      </c>
      <c r="DB57">
        <v>0</v>
      </c>
    </row>
    <row r="58" spans="1:106" x14ac:dyDescent="0.2">
      <c r="A58">
        <f>ROW(Source!A171)</f>
        <v>171</v>
      </c>
      <c r="B58">
        <v>90163004</v>
      </c>
      <c r="C58">
        <v>90163952</v>
      </c>
      <c r="D58">
        <v>7157835</v>
      </c>
      <c r="E58">
        <v>7157832</v>
      </c>
      <c r="F58">
        <v>1</v>
      </c>
      <c r="G58">
        <v>7157832</v>
      </c>
      <c r="H58">
        <v>1</v>
      </c>
      <c r="I58" t="s">
        <v>276</v>
      </c>
      <c r="J58" t="s">
        <v>3</v>
      </c>
      <c r="K58" t="s">
        <v>277</v>
      </c>
      <c r="L58">
        <v>1191</v>
      </c>
      <c r="N58">
        <v>1013</v>
      </c>
      <c r="O58" t="s">
        <v>278</v>
      </c>
      <c r="P58" t="s">
        <v>278</v>
      </c>
      <c r="Q58">
        <v>1</v>
      </c>
      <c r="W58">
        <v>0</v>
      </c>
      <c r="X58">
        <v>946207192</v>
      </c>
      <c r="Y58">
        <v>1.38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1</v>
      </c>
      <c r="AJ58">
        <v>1</v>
      </c>
      <c r="AK58">
        <v>1</v>
      </c>
      <c r="AL58">
        <v>1</v>
      </c>
      <c r="AN58">
        <v>0</v>
      </c>
      <c r="AO58">
        <v>1</v>
      </c>
      <c r="AP58">
        <v>0</v>
      </c>
      <c r="AQ58">
        <v>0</v>
      </c>
      <c r="AR58">
        <v>0</v>
      </c>
      <c r="AS58" t="s">
        <v>3</v>
      </c>
      <c r="AT58">
        <v>1.38</v>
      </c>
      <c r="AU58" t="s">
        <v>3</v>
      </c>
      <c r="AV58">
        <v>1</v>
      </c>
      <c r="AW58">
        <v>2</v>
      </c>
      <c r="AX58">
        <v>90163956</v>
      </c>
      <c r="AY58">
        <v>1</v>
      </c>
      <c r="AZ58">
        <v>0</v>
      </c>
      <c r="BA58">
        <v>53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0</v>
      </c>
      <c r="CX58">
        <f>Y58*Source!I171</f>
        <v>1.2977657999999999</v>
      </c>
      <c r="CY58">
        <f>AD58</f>
        <v>0</v>
      </c>
      <c r="CZ58">
        <f>AH58</f>
        <v>0</v>
      </c>
      <c r="DA58">
        <f>AL58</f>
        <v>1</v>
      </c>
      <c r="DB58">
        <v>0</v>
      </c>
    </row>
    <row r="59" spans="1:106" x14ac:dyDescent="0.2">
      <c r="A59">
        <f>ROW(Source!A171)</f>
        <v>171</v>
      </c>
      <c r="B59">
        <v>90163004</v>
      </c>
      <c r="C59">
        <v>90163952</v>
      </c>
      <c r="D59">
        <v>7230725</v>
      </c>
      <c r="E59">
        <v>1</v>
      </c>
      <c r="F59">
        <v>1</v>
      </c>
      <c r="G59">
        <v>7157832</v>
      </c>
      <c r="H59">
        <v>2</v>
      </c>
      <c r="I59" t="s">
        <v>308</v>
      </c>
      <c r="J59" t="s">
        <v>309</v>
      </c>
      <c r="K59" t="s">
        <v>310</v>
      </c>
      <c r="L59">
        <v>1368</v>
      </c>
      <c r="N59">
        <v>1011</v>
      </c>
      <c r="O59" t="s">
        <v>286</v>
      </c>
      <c r="P59" t="s">
        <v>286</v>
      </c>
      <c r="Q59">
        <v>1</v>
      </c>
      <c r="W59">
        <v>0</v>
      </c>
      <c r="X59">
        <v>419869572</v>
      </c>
      <c r="Y59">
        <v>3.9874999999999998</v>
      </c>
      <c r="AA59">
        <v>0</v>
      </c>
      <c r="AB59">
        <v>1469.28</v>
      </c>
      <c r="AC59">
        <v>595.23</v>
      </c>
      <c r="AD59">
        <v>0</v>
      </c>
      <c r="AE59">
        <v>0</v>
      </c>
      <c r="AF59">
        <v>162.4</v>
      </c>
      <c r="AG59">
        <v>28.6</v>
      </c>
      <c r="AH59">
        <v>0</v>
      </c>
      <c r="AI59">
        <v>1</v>
      </c>
      <c r="AJ59">
        <v>7.59</v>
      </c>
      <c r="AK59">
        <v>17.46</v>
      </c>
      <c r="AL59">
        <v>1</v>
      </c>
      <c r="AN59">
        <v>0</v>
      </c>
      <c r="AO59">
        <v>1</v>
      </c>
      <c r="AP59">
        <v>0</v>
      </c>
      <c r="AQ59">
        <v>0</v>
      </c>
      <c r="AR59">
        <v>0</v>
      </c>
      <c r="AS59" t="s">
        <v>3</v>
      </c>
      <c r="AT59">
        <v>3.9874999999999998</v>
      </c>
      <c r="AU59" t="s">
        <v>3</v>
      </c>
      <c r="AV59">
        <v>0</v>
      </c>
      <c r="AW59">
        <v>2</v>
      </c>
      <c r="AX59">
        <v>90163957</v>
      </c>
      <c r="AY59">
        <v>1</v>
      </c>
      <c r="AZ59">
        <v>0</v>
      </c>
      <c r="BA59">
        <v>54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  <c r="BS59">
        <v>0</v>
      </c>
      <c r="BT59">
        <v>0</v>
      </c>
      <c r="BU59">
        <v>0</v>
      </c>
      <c r="BV59">
        <v>0</v>
      </c>
      <c r="BW59">
        <v>0</v>
      </c>
      <c r="CX59">
        <f>Y59*Source!I171</f>
        <v>3.7498848749999998</v>
      </c>
      <c r="CY59">
        <f>AB59</f>
        <v>1469.28</v>
      </c>
      <c r="CZ59">
        <f>AF59</f>
        <v>162.4</v>
      </c>
      <c r="DA59">
        <f>AJ59</f>
        <v>7.59</v>
      </c>
      <c r="DB59">
        <v>0</v>
      </c>
    </row>
    <row r="60" spans="1:106" x14ac:dyDescent="0.2">
      <c r="A60">
        <f>ROW(Source!A171)</f>
        <v>171</v>
      </c>
      <c r="B60">
        <v>90163004</v>
      </c>
      <c r="C60">
        <v>90163952</v>
      </c>
      <c r="D60">
        <v>7230750</v>
      </c>
      <c r="E60">
        <v>1</v>
      </c>
      <c r="F60">
        <v>1</v>
      </c>
      <c r="G60">
        <v>7157832</v>
      </c>
      <c r="H60">
        <v>2</v>
      </c>
      <c r="I60" t="s">
        <v>311</v>
      </c>
      <c r="J60" t="s">
        <v>312</v>
      </c>
      <c r="K60" t="s">
        <v>313</v>
      </c>
      <c r="L60">
        <v>1368</v>
      </c>
      <c r="N60">
        <v>1011</v>
      </c>
      <c r="O60" t="s">
        <v>286</v>
      </c>
      <c r="P60" t="s">
        <v>286</v>
      </c>
      <c r="Q60">
        <v>1</v>
      </c>
      <c r="W60">
        <v>0</v>
      </c>
      <c r="X60">
        <v>1610179075</v>
      </c>
      <c r="Y60">
        <v>0.997</v>
      </c>
      <c r="AA60">
        <v>0</v>
      </c>
      <c r="AB60">
        <v>909.91</v>
      </c>
      <c r="AC60">
        <v>551.94000000000005</v>
      </c>
      <c r="AD60">
        <v>0</v>
      </c>
      <c r="AE60">
        <v>0</v>
      </c>
      <c r="AF60">
        <v>110.31</v>
      </c>
      <c r="AG60">
        <v>26.52</v>
      </c>
      <c r="AH60">
        <v>0</v>
      </c>
      <c r="AI60">
        <v>1</v>
      </c>
      <c r="AJ60">
        <v>6.92</v>
      </c>
      <c r="AK60">
        <v>17.46</v>
      </c>
      <c r="AL60">
        <v>1</v>
      </c>
      <c r="AN60">
        <v>0</v>
      </c>
      <c r="AO60">
        <v>1</v>
      </c>
      <c r="AP60">
        <v>0</v>
      </c>
      <c r="AQ60">
        <v>0</v>
      </c>
      <c r="AR60">
        <v>0</v>
      </c>
      <c r="AS60" t="s">
        <v>3</v>
      </c>
      <c r="AT60">
        <v>0.997</v>
      </c>
      <c r="AU60" t="s">
        <v>3</v>
      </c>
      <c r="AV60">
        <v>0</v>
      </c>
      <c r="AW60">
        <v>2</v>
      </c>
      <c r="AX60">
        <v>90163958</v>
      </c>
      <c r="AY60">
        <v>1</v>
      </c>
      <c r="AZ60">
        <v>0</v>
      </c>
      <c r="BA60">
        <v>55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CX60">
        <f>Y60*Source!I171</f>
        <v>0.93758876999999996</v>
      </c>
      <c r="CY60">
        <f>AB60</f>
        <v>909.91</v>
      </c>
      <c r="CZ60">
        <f>AF60</f>
        <v>110.31</v>
      </c>
      <c r="DA60">
        <f>AJ60</f>
        <v>6.92</v>
      </c>
      <c r="DB60">
        <v>0</v>
      </c>
    </row>
    <row r="61" spans="1:106" x14ac:dyDescent="0.2">
      <c r="A61">
        <f>ROW(Source!A207)</f>
        <v>207</v>
      </c>
      <c r="B61">
        <v>90163004</v>
      </c>
      <c r="C61">
        <v>90164012</v>
      </c>
      <c r="D61">
        <v>7157835</v>
      </c>
      <c r="E61">
        <v>7157832</v>
      </c>
      <c r="F61">
        <v>1</v>
      </c>
      <c r="G61">
        <v>7157832</v>
      </c>
      <c r="H61">
        <v>1</v>
      </c>
      <c r="I61" t="s">
        <v>276</v>
      </c>
      <c r="J61" t="s">
        <v>3</v>
      </c>
      <c r="K61" t="s">
        <v>277</v>
      </c>
      <c r="L61">
        <v>1191</v>
      </c>
      <c r="N61">
        <v>1013</v>
      </c>
      <c r="O61" t="s">
        <v>278</v>
      </c>
      <c r="P61" t="s">
        <v>278</v>
      </c>
      <c r="Q61">
        <v>1</v>
      </c>
      <c r="W61">
        <v>0</v>
      </c>
      <c r="X61">
        <v>946207192</v>
      </c>
      <c r="Y61">
        <v>696.9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1</v>
      </c>
      <c r="AJ61">
        <v>1</v>
      </c>
      <c r="AK61">
        <v>1</v>
      </c>
      <c r="AL61">
        <v>1</v>
      </c>
      <c r="AN61">
        <v>0</v>
      </c>
      <c r="AO61">
        <v>1</v>
      </c>
      <c r="AP61">
        <v>1</v>
      </c>
      <c r="AQ61">
        <v>0</v>
      </c>
      <c r="AR61">
        <v>0</v>
      </c>
      <c r="AS61" t="s">
        <v>3</v>
      </c>
      <c r="AT61">
        <v>1010</v>
      </c>
      <c r="AU61" t="s">
        <v>249</v>
      </c>
      <c r="AV61">
        <v>1</v>
      </c>
      <c r="AW61">
        <v>2</v>
      </c>
      <c r="AX61">
        <v>90173017</v>
      </c>
      <c r="AY61">
        <v>1</v>
      </c>
      <c r="AZ61">
        <v>0</v>
      </c>
      <c r="BA61">
        <v>56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  <c r="BS61">
        <v>0</v>
      </c>
      <c r="BT61">
        <v>0</v>
      </c>
      <c r="BU61">
        <v>0</v>
      </c>
      <c r="BV61">
        <v>0</v>
      </c>
      <c r="BW61">
        <v>0</v>
      </c>
      <c r="CX61">
        <f>Y61*Source!I207</f>
        <v>25.088399999999996</v>
      </c>
      <c r="CY61">
        <f>AD61</f>
        <v>0</v>
      </c>
      <c r="CZ61">
        <f>AH61</f>
        <v>0</v>
      </c>
      <c r="DA61">
        <f>AL61</f>
        <v>1</v>
      </c>
      <c r="DB61">
        <v>0</v>
      </c>
    </row>
    <row r="62" spans="1:106" x14ac:dyDescent="0.2">
      <c r="A62">
        <f>ROW(Source!A207)</f>
        <v>207</v>
      </c>
      <c r="B62">
        <v>90163004</v>
      </c>
      <c r="C62">
        <v>90164012</v>
      </c>
      <c r="D62">
        <v>7231131</v>
      </c>
      <c r="E62">
        <v>1</v>
      </c>
      <c r="F62">
        <v>1</v>
      </c>
      <c r="G62">
        <v>7157832</v>
      </c>
      <c r="H62">
        <v>2</v>
      </c>
      <c r="I62" t="s">
        <v>349</v>
      </c>
      <c r="J62" t="s">
        <v>350</v>
      </c>
      <c r="K62" t="s">
        <v>351</v>
      </c>
      <c r="L62">
        <v>1368</v>
      </c>
      <c r="N62">
        <v>1011</v>
      </c>
      <c r="O62" t="s">
        <v>286</v>
      </c>
      <c r="P62" t="s">
        <v>286</v>
      </c>
      <c r="Q62">
        <v>1</v>
      </c>
      <c r="W62">
        <v>0</v>
      </c>
      <c r="X62">
        <v>914794801</v>
      </c>
      <c r="Y62">
        <v>13.799999999999999</v>
      </c>
      <c r="AA62">
        <v>0</v>
      </c>
      <c r="AB62">
        <v>869.32</v>
      </c>
      <c r="AC62">
        <v>349.87</v>
      </c>
      <c r="AD62">
        <v>0</v>
      </c>
      <c r="AE62">
        <v>0</v>
      </c>
      <c r="AF62">
        <v>105.81</v>
      </c>
      <c r="AG62">
        <v>18.78</v>
      </c>
      <c r="AH62">
        <v>0</v>
      </c>
      <c r="AI62">
        <v>1</v>
      </c>
      <c r="AJ62">
        <v>7.7</v>
      </c>
      <c r="AK62">
        <v>17.46</v>
      </c>
      <c r="AL62">
        <v>1</v>
      </c>
      <c r="AN62">
        <v>0</v>
      </c>
      <c r="AO62">
        <v>1</v>
      </c>
      <c r="AP62">
        <v>1</v>
      </c>
      <c r="AQ62">
        <v>0</v>
      </c>
      <c r="AR62">
        <v>0</v>
      </c>
      <c r="AS62" t="s">
        <v>3</v>
      </c>
      <c r="AT62">
        <v>20</v>
      </c>
      <c r="AU62" t="s">
        <v>249</v>
      </c>
      <c r="AV62">
        <v>0</v>
      </c>
      <c r="AW62">
        <v>2</v>
      </c>
      <c r="AX62">
        <v>90173018</v>
      </c>
      <c r="AY62">
        <v>1</v>
      </c>
      <c r="AZ62">
        <v>0</v>
      </c>
      <c r="BA62">
        <v>57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  <c r="BS62">
        <v>0</v>
      </c>
      <c r="BT62">
        <v>0</v>
      </c>
      <c r="BU62">
        <v>0</v>
      </c>
      <c r="BV62">
        <v>0</v>
      </c>
      <c r="BW62">
        <v>0</v>
      </c>
      <c r="CX62">
        <f>Y62*Source!I207</f>
        <v>0.49679999999999991</v>
      </c>
      <c r="CY62">
        <f t="shared" ref="CY62:CY68" si="6">AB62</f>
        <v>869.32</v>
      </c>
      <c r="CZ62">
        <f t="shared" ref="CZ62:CZ68" si="7">AF62</f>
        <v>105.81</v>
      </c>
      <c r="DA62">
        <f t="shared" ref="DA62:DA68" si="8">AJ62</f>
        <v>7.7</v>
      </c>
      <c r="DB62">
        <v>0</v>
      </c>
    </row>
    <row r="63" spans="1:106" x14ac:dyDescent="0.2">
      <c r="A63">
        <f>ROW(Source!A207)</f>
        <v>207</v>
      </c>
      <c r="B63">
        <v>90163004</v>
      </c>
      <c r="C63">
        <v>90164012</v>
      </c>
      <c r="D63">
        <v>7231208</v>
      </c>
      <c r="E63">
        <v>1</v>
      </c>
      <c r="F63">
        <v>1</v>
      </c>
      <c r="G63">
        <v>7157832</v>
      </c>
      <c r="H63">
        <v>2</v>
      </c>
      <c r="I63" t="s">
        <v>352</v>
      </c>
      <c r="J63" t="s">
        <v>353</v>
      </c>
      <c r="K63" t="s">
        <v>354</v>
      </c>
      <c r="L63">
        <v>1368</v>
      </c>
      <c r="N63">
        <v>1011</v>
      </c>
      <c r="O63" t="s">
        <v>286</v>
      </c>
      <c r="P63" t="s">
        <v>286</v>
      </c>
      <c r="Q63">
        <v>1</v>
      </c>
      <c r="W63">
        <v>0</v>
      </c>
      <c r="X63">
        <v>-1300038265</v>
      </c>
      <c r="Y63">
        <v>211.14</v>
      </c>
      <c r="AA63">
        <v>0</v>
      </c>
      <c r="AB63">
        <v>324.45999999999998</v>
      </c>
      <c r="AC63">
        <v>49</v>
      </c>
      <c r="AD63">
        <v>0</v>
      </c>
      <c r="AE63">
        <v>0</v>
      </c>
      <c r="AF63">
        <v>36.770000000000003</v>
      </c>
      <c r="AG63">
        <v>2.63</v>
      </c>
      <c r="AH63">
        <v>0</v>
      </c>
      <c r="AI63">
        <v>1</v>
      </c>
      <c r="AJ63">
        <v>8.27</v>
      </c>
      <c r="AK63">
        <v>17.46</v>
      </c>
      <c r="AL63">
        <v>1</v>
      </c>
      <c r="AN63">
        <v>0</v>
      </c>
      <c r="AO63">
        <v>1</v>
      </c>
      <c r="AP63">
        <v>1</v>
      </c>
      <c r="AQ63">
        <v>0</v>
      </c>
      <c r="AR63">
        <v>0</v>
      </c>
      <c r="AS63" t="s">
        <v>3</v>
      </c>
      <c r="AT63">
        <v>306</v>
      </c>
      <c r="AU63" t="s">
        <v>249</v>
      </c>
      <c r="AV63">
        <v>0</v>
      </c>
      <c r="AW63">
        <v>2</v>
      </c>
      <c r="AX63">
        <v>90173019</v>
      </c>
      <c r="AY63">
        <v>1</v>
      </c>
      <c r="AZ63">
        <v>0</v>
      </c>
      <c r="BA63">
        <v>58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  <c r="BS63">
        <v>0</v>
      </c>
      <c r="BT63">
        <v>0</v>
      </c>
      <c r="BU63">
        <v>0</v>
      </c>
      <c r="BV63">
        <v>0</v>
      </c>
      <c r="BW63">
        <v>0</v>
      </c>
      <c r="CX63">
        <f>Y63*Source!I207</f>
        <v>7.6010399999999994</v>
      </c>
      <c r="CY63">
        <f t="shared" si="6"/>
        <v>324.45999999999998</v>
      </c>
      <c r="CZ63">
        <f t="shared" si="7"/>
        <v>36.770000000000003</v>
      </c>
      <c r="DA63">
        <f t="shared" si="8"/>
        <v>8.27</v>
      </c>
      <c r="DB63">
        <v>0</v>
      </c>
    </row>
    <row r="64" spans="1:106" x14ac:dyDescent="0.2">
      <c r="A64">
        <f>ROW(Source!A207)</f>
        <v>207</v>
      </c>
      <c r="B64">
        <v>90163004</v>
      </c>
      <c r="C64">
        <v>90164012</v>
      </c>
      <c r="D64">
        <v>7231318</v>
      </c>
      <c r="E64">
        <v>1</v>
      </c>
      <c r="F64">
        <v>1</v>
      </c>
      <c r="G64">
        <v>7157832</v>
      </c>
      <c r="H64">
        <v>2</v>
      </c>
      <c r="I64" t="s">
        <v>355</v>
      </c>
      <c r="J64" t="s">
        <v>356</v>
      </c>
      <c r="K64" t="s">
        <v>357</v>
      </c>
      <c r="L64">
        <v>1368</v>
      </c>
      <c r="N64">
        <v>1011</v>
      </c>
      <c r="O64" t="s">
        <v>286</v>
      </c>
      <c r="P64" t="s">
        <v>286</v>
      </c>
      <c r="Q64">
        <v>1</v>
      </c>
      <c r="W64">
        <v>0</v>
      </c>
      <c r="X64">
        <v>275416406</v>
      </c>
      <c r="Y64">
        <v>27.461999999999996</v>
      </c>
      <c r="AA64">
        <v>0</v>
      </c>
      <c r="AB64">
        <v>994.03</v>
      </c>
      <c r="AC64">
        <v>413.4</v>
      </c>
      <c r="AD64">
        <v>0</v>
      </c>
      <c r="AE64">
        <v>0</v>
      </c>
      <c r="AF64">
        <v>136.19999999999999</v>
      </c>
      <c r="AG64">
        <v>22.19</v>
      </c>
      <c r="AH64">
        <v>0</v>
      </c>
      <c r="AI64">
        <v>1</v>
      </c>
      <c r="AJ64">
        <v>6.84</v>
      </c>
      <c r="AK64">
        <v>17.46</v>
      </c>
      <c r="AL64">
        <v>1</v>
      </c>
      <c r="AN64">
        <v>0</v>
      </c>
      <c r="AO64">
        <v>1</v>
      </c>
      <c r="AP64">
        <v>1</v>
      </c>
      <c r="AQ64">
        <v>0</v>
      </c>
      <c r="AR64">
        <v>0</v>
      </c>
      <c r="AS64" t="s">
        <v>3</v>
      </c>
      <c r="AT64">
        <v>39.799999999999997</v>
      </c>
      <c r="AU64" t="s">
        <v>249</v>
      </c>
      <c r="AV64">
        <v>0</v>
      </c>
      <c r="AW64">
        <v>2</v>
      </c>
      <c r="AX64">
        <v>90173020</v>
      </c>
      <c r="AY64">
        <v>1</v>
      </c>
      <c r="AZ64">
        <v>0</v>
      </c>
      <c r="BA64">
        <v>59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0</v>
      </c>
      <c r="BV64">
        <v>0</v>
      </c>
      <c r="BW64">
        <v>0</v>
      </c>
      <c r="CX64">
        <f>Y64*Source!I207</f>
        <v>0.98863199999999973</v>
      </c>
      <c r="CY64">
        <f t="shared" si="6"/>
        <v>994.03</v>
      </c>
      <c r="CZ64">
        <f t="shared" si="7"/>
        <v>136.19999999999999</v>
      </c>
      <c r="DA64">
        <f t="shared" si="8"/>
        <v>6.84</v>
      </c>
      <c r="DB64">
        <v>0</v>
      </c>
    </row>
    <row r="65" spans="1:106" x14ac:dyDescent="0.2">
      <c r="A65">
        <f>ROW(Source!A207)</f>
        <v>207</v>
      </c>
      <c r="B65">
        <v>90163004</v>
      </c>
      <c r="C65">
        <v>90164012</v>
      </c>
      <c r="D65">
        <v>7231421</v>
      </c>
      <c r="E65">
        <v>1</v>
      </c>
      <c r="F65">
        <v>1</v>
      </c>
      <c r="G65">
        <v>7157832</v>
      </c>
      <c r="H65">
        <v>2</v>
      </c>
      <c r="I65" t="s">
        <v>293</v>
      </c>
      <c r="J65" t="s">
        <v>294</v>
      </c>
      <c r="K65" t="s">
        <v>295</v>
      </c>
      <c r="L65">
        <v>1368</v>
      </c>
      <c r="N65">
        <v>1011</v>
      </c>
      <c r="O65" t="s">
        <v>286</v>
      </c>
      <c r="P65" t="s">
        <v>286</v>
      </c>
      <c r="Q65">
        <v>1</v>
      </c>
      <c r="W65">
        <v>0</v>
      </c>
      <c r="X65">
        <v>-1289262214</v>
      </c>
      <c r="Y65">
        <v>0.70379999999999987</v>
      </c>
      <c r="AA65">
        <v>0</v>
      </c>
      <c r="AB65">
        <v>717.23</v>
      </c>
      <c r="AC65">
        <v>327.7</v>
      </c>
      <c r="AD65">
        <v>0</v>
      </c>
      <c r="AE65">
        <v>0</v>
      </c>
      <c r="AF65">
        <v>74.44</v>
      </c>
      <c r="AG65">
        <v>17.59</v>
      </c>
      <c r="AH65">
        <v>0</v>
      </c>
      <c r="AI65">
        <v>1</v>
      </c>
      <c r="AJ65">
        <v>9.0299999999999994</v>
      </c>
      <c r="AK65">
        <v>17.46</v>
      </c>
      <c r="AL65">
        <v>1</v>
      </c>
      <c r="AN65">
        <v>0</v>
      </c>
      <c r="AO65">
        <v>1</v>
      </c>
      <c r="AP65">
        <v>1</v>
      </c>
      <c r="AQ65">
        <v>0</v>
      </c>
      <c r="AR65">
        <v>0</v>
      </c>
      <c r="AS65" t="s">
        <v>3</v>
      </c>
      <c r="AT65">
        <v>1.02</v>
      </c>
      <c r="AU65" t="s">
        <v>249</v>
      </c>
      <c r="AV65">
        <v>0</v>
      </c>
      <c r="AW65">
        <v>2</v>
      </c>
      <c r="AX65">
        <v>90173021</v>
      </c>
      <c r="AY65">
        <v>1</v>
      </c>
      <c r="AZ65">
        <v>0</v>
      </c>
      <c r="BA65">
        <v>60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  <c r="BS65">
        <v>0</v>
      </c>
      <c r="BT65">
        <v>0</v>
      </c>
      <c r="BU65">
        <v>0</v>
      </c>
      <c r="BV65">
        <v>0</v>
      </c>
      <c r="BW65">
        <v>0</v>
      </c>
      <c r="CX65">
        <f>Y65*Source!I207</f>
        <v>2.5336799999999993E-2</v>
      </c>
      <c r="CY65">
        <f t="shared" si="6"/>
        <v>717.23</v>
      </c>
      <c r="CZ65">
        <f t="shared" si="7"/>
        <v>74.44</v>
      </c>
      <c r="DA65">
        <f t="shared" si="8"/>
        <v>9.0299999999999994</v>
      </c>
      <c r="DB65">
        <v>0</v>
      </c>
    </row>
    <row r="66" spans="1:106" x14ac:dyDescent="0.2">
      <c r="A66">
        <f>ROW(Source!A207)</f>
        <v>207</v>
      </c>
      <c r="B66">
        <v>90163004</v>
      </c>
      <c r="C66">
        <v>90164012</v>
      </c>
      <c r="D66">
        <v>7231457</v>
      </c>
      <c r="E66">
        <v>1</v>
      </c>
      <c r="F66">
        <v>1</v>
      </c>
      <c r="G66">
        <v>7157832</v>
      </c>
      <c r="H66">
        <v>2</v>
      </c>
      <c r="I66" t="s">
        <v>358</v>
      </c>
      <c r="J66" t="s">
        <v>359</v>
      </c>
      <c r="K66" t="s">
        <v>360</v>
      </c>
      <c r="L66">
        <v>1368</v>
      </c>
      <c r="N66">
        <v>1011</v>
      </c>
      <c r="O66" t="s">
        <v>286</v>
      </c>
      <c r="P66" t="s">
        <v>286</v>
      </c>
      <c r="Q66">
        <v>1</v>
      </c>
      <c r="W66">
        <v>0</v>
      </c>
      <c r="X66">
        <v>-1137596515</v>
      </c>
      <c r="Y66">
        <v>45.539999999999992</v>
      </c>
      <c r="AA66">
        <v>0</v>
      </c>
      <c r="AB66">
        <v>4.83</v>
      </c>
      <c r="AC66">
        <v>0.75</v>
      </c>
      <c r="AD66">
        <v>0</v>
      </c>
      <c r="AE66">
        <v>0</v>
      </c>
      <c r="AF66">
        <v>0.68</v>
      </c>
      <c r="AG66">
        <v>0.04</v>
      </c>
      <c r="AH66">
        <v>0</v>
      </c>
      <c r="AI66">
        <v>1</v>
      </c>
      <c r="AJ66">
        <v>6.66</v>
      </c>
      <c r="AK66">
        <v>17.46</v>
      </c>
      <c r="AL66">
        <v>1</v>
      </c>
      <c r="AN66">
        <v>0</v>
      </c>
      <c r="AO66">
        <v>1</v>
      </c>
      <c r="AP66">
        <v>1</v>
      </c>
      <c r="AQ66">
        <v>0</v>
      </c>
      <c r="AR66">
        <v>0</v>
      </c>
      <c r="AS66" t="s">
        <v>3</v>
      </c>
      <c r="AT66">
        <v>66</v>
      </c>
      <c r="AU66" t="s">
        <v>249</v>
      </c>
      <c r="AV66">
        <v>0</v>
      </c>
      <c r="AW66">
        <v>2</v>
      </c>
      <c r="AX66">
        <v>90173023</v>
      </c>
      <c r="AY66">
        <v>1</v>
      </c>
      <c r="AZ66">
        <v>0</v>
      </c>
      <c r="BA66">
        <v>61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0</v>
      </c>
      <c r="CX66">
        <f>Y66*Source!I207</f>
        <v>1.6394399999999996</v>
      </c>
      <c r="CY66">
        <f t="shared" si="6"/>
        <v>4.83</v>
      </c>
      <c r="CZ66">
        <f t="shared" si="7"/>
        <v>0.68</v>
      </c>
      <c r="DA66">
        <f t="shared" si="8"/>
        <v>6.66</v>
      </c>
      <c r="DB66">
        <v>0</v>
      </c>
    </row>
    <row r="67" spans="1:106" x14ac:dyDescent="0.2">
      <c r="A67">
        <f>ROW(Source!A207)</f>
        <v>207</v>
      </c>
      <c r="B67">
        <v>90163004</v>
      </c>
      <c r="C67">
        <v>90164012</v>
      </c>
      <c r="D67">
        <v>7231483</v>
      </c>
      <c r="E67">
        <v>1</v>
      </c>
      <c r="F67">
        <v>1</v>
      </c>
      <c r="G67">
        <v>7157832</v>
      </c>
      <c r="H67">
        <v>2</v>
      </c>
      <c r="I67" t="s">
        <v>361</v>
      </c>
      <c r="J67" t="s">
        <v>362</v>
      </c>
      <c r="K67" t="s">
        <v>363</v>
      </c>
      <c r="L67">
        <v>1368</v>
      </c>
      <c r="N67">
        <v>1011</v>
      </c>
      <c r="O67" t="s">
        <v>286</v>
      </c>
      <c r="P67" t="s">
        <v>286</v>
      </c>
      <c r="Q67">
        <v>1</v>
      </c>
      <c r="W67">
        <v>0</v>
      </c>
      <c r="X67">
        <v>-1211123010</v>
      </c>
      <c r="Y67">
        <v>6.8999999999999995</v>
      </c>
      <c r="AA67">
        <v>0</v>
      </c>
      <c r="AB67">
        <v>24.61</v>
      </c>
      <c r="AC67">
        <v>0.75</v>
      </c>
      <c r="AD67">
        <v>0</v>
      </c>
      <c r="AE67">
        <v>0</v>
      </c>
      <c r="AF67">
        <v>2.58</v>
      </c>
      <c r="AG67">
        <v>0.04</v>
      </c>
      <c r="AH67">
        <v>0</v>
      </c>
      <c r="AI67">
        <v>1</v>
      </c>
      <c r="AJ67">
        <v>8.94</v>
      </c>
      <c r="AK67">
        <v>17.46</v>
      </c>
      <c r="AL67">
        <v>1</v>
      </c>
      <c r="AN67">
        <v>0</v>
      </c>
      <c r="AO67">
        <v>1</v>
      </c>
      <c r="AP67">
        <v>1</v>
      </c>
      <c r="AQ67">
        <v>0</v>
      </c>
      <c r="AR67">
        <v>0</v>
      </c>
      <c r="AS67" t="s">
        <v>3</v>
      </c>
      <c r="AT67">
        <v>10</v>
      </c>
      <c r="AU67" t="s">
        <v>249</v>
      </c>
      <c r="AV67">
        <v>0</v>
      </c>
      <c r="AW67">
        <v>2</v>
      </c>
      <c r="AX67">
        <v>90173024</v>
      </c>
      <c r="AY67">
        <v>1</v>
      </c>
      <c r="AZ67">
        <v>0</v>
      </c>
      <c r="BA67">
        <v>62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  <c r="BS67">
        <v>0</v>
      </c>
      <c r="BT67">
        <v>0</v>
      </c>
      <c r="BU67">
        <v>0</v>
      </c>
      <c r="BV67">
        <v>0</v>
      </c>
      <c r="BW67">
        <v>0</v>
      </c>
      <c r="CX67">
        <f>Y67*Source!I207</f>
        <v>0.24839999999999995</v>
      </c>
      <c r="CY67">
        <f t="shared" si="6"/>
        <v>24.61</v>
      </c>
      <c r="CZ67">
        <f t="shared" si="7"/>
        <v>2.58</v>
      </c>
      <c r="DA67">
        <f t="shared" si="8"/>
        <v>8.94</v>
      </c>
      <c r="DB67">
        <v>0</v>
      </c>
    </row>
    <row r="68" spans="1:106" x14ac:dyDescent="0.2">
      <c r="A68">
        <f>ROW(Source!A207)</f>
        <v>207</v>
      </c>
      <c r="B68">
        <v>90163004</v>
      </c>
      <c r="C68">
        <v>90164012</v>
      </c>
      <c r="D68">
        <v>7230811</v>
      </c>
      <c r="E68">
        <v>1</v>
      </c>
      <c r="F68">
        <v>1</v>
      </c>
      <c r="G68">
        <v>7157832</v>
      </c>
      <c r="H68">
        <v>2</v>
      </c>
      <c r="I68" t="s">
        <v>317</v>
      </c>
      <c r="J68" t="s">
        <v>318</v>
      </c>
      <c r="K68" t="s">
        <v>319</v>
      </c>
      <c r="L68">
        <v>1368</v>
      </c>
      <c r="N68">
        <v>1011</v>
      </c>
      <c r="O68" t="s">
        <v>286</v>
      </c>
      <c r="P68" t="s">
        <v>286</v>
      </c>
      <c r="Q68">
        <v>1</v>
      </c>
      <c r="W68">
        <v>0</v>
      </c>
      <c r="X68">
        <v>1373649140</v>
      </c>
      <c r="Y68">
        <v>74.52</v>
      </c>
      <c r="AA68">
        <v>0</v>
      </c>
      <c r="AB68">
        <v>866.16</v>
      </c>
      <c r="AC68">
        <v>559.45000000000005</v>
      </c>
      <c r="AD68">
        <v>0</v>
      </c>
      <c r="AE68">
        <v>0</v>
      </c>
      <c r="AF68">
        <v>102.11</v>
      </c>
      <c r="AG68">
        <v>30.03</v>
      </c>
      <c r="AH68">
        <v>0</v>
      </c>
      <c r="AI68">
        <v>1</v>
      </c>
      <c r="AJ68">
        <v>7.95</v>
      </c>
      <c r="AK68">
        <v>17.46</v>
      </c>
      <c r="AL68">
        <v>1</v>
      </c>
      <c r="AN68">
        <v>0</v>
      </c>
      <c r="AO68">
        <v>1</v>
      </c>
      <c r="AP68">
        <v>1</v>
      </c>
      <c r="AQ68">
        <v>0</v>
      </c>
      <c r="AR68">
        <v>0</v>
      </c>
      <c r="AS68" t="s">
        <v>3</v>
      </c>
      <c r="AT68">
        <v>108</v>
      </c>
      <c r="AU68" t="s">
        <v>249</v>
      </c>
      <c r="AV68">
        <v>0</v>
      </c>
      <c r="AW68">
        <v>2</v>
      </c>
      <c r="AX68">
        <v>90173022</v>
      </c>
      <c r="AY68">
        <v>1</v>
      </c>
      <c r="AZ68">
        <v>0</v>
      </c>
      <c r="BA68">
        <v>63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  <c r="BS68">
        <v>0</v>
      </c>
      <c r="BT68">
        <v>0</v>
      </c>
      <c r="BU68">
        <v>0</v>
      </c>
      <c r="BV68">
        <v>0</v>
      </c>
      <c r="BW68">
        <v>0</v>
      </c>
      <c r="CX68">
        <f>Y68*Source!I207</f>
        <v>2.6827199999999998</v>
      </c>
      <c r="CY68">
        <f t="shared" si="6"/>
        <v>866.16</v>
      </c>
      <c r="CZ68">
        <f t="shared" si="7"/>
        <v>102.11</v>
      </c>
      <c r="DA68">
        <f t="shared" si="8"/>
        <v>7.95</v>
      </c>
      <c r="DB68">
        <v>0</v>
      </c>
    </row>
    <row r="69" spans="1:106" x14ac:dyDescent="0.2">
      <c r="A69">
        <f>ROW(Source!A207)</f>
        <v>207</v>
      </c>
      <c r="B69">
        <v>90163004</v>
      </c>
      <c r="C69">
        <v>90164012</v>
      </c>
      <c r="D69">
        <v>7231827</v>
      </c>
      <c r="E69">
        <v>1</v>
      </c>
      <c r="F69">
        <v>1</v>
      </c>
      <c r="G69">
        <v>7157832</v>
      </c>
      <c r="H69">
        <v>3</v>
      </c>
      <c r="I69" t="s">
        <v>364</v>
      </c>
      <c r="J69" t="s">
        <v>365</v>
      </c>
      <c r="K69" t="s">
        <v>366</v>
      </c>
      <c r="L69">
        <v>1339</v>
      </c>
      <c r="N69">
        <v>1007</v>
      </c>
      <c r="O69" t="s">
        <v>30</v>
      </c>
      <c r="P69" t="s">
        <v>30</v>
      </c>
      <c r="Q69">
        <v>1</v>
      </c>
      <c r="W69">
        <v>0</v>
      </c>
      <c r="X69">
        <v>55300385</v>
      </c>
      <c r="Y69">
        <v>0</v>
      </c>
      <c r="AA69">
        <v>28.72</v>
      </c>
      <c r="AB69">
        <v>0</v>
      </c>
      <c r="AC69">
        <v>0</v>
      </c>
      <c r="AD69">
        <v>0</v>
      </c>
      <c r="AE69">
        <v>7.07</v>
      </c>
      <c r="AF69">
        <v>0</v>
      </c>
      <c r="AG69">
        <v>0</v>
      </c>
      <c r="AH69">
        <v>0</v>
      </c>
      <c r="AI69">
        <v>4.05</v>
      </c>
      <c r="AJ69">
        <v>1</v>
      </c>
      <c r="AK69">
        <v>1</v>
      </c>
      <c r="AL69">
        <v>1</v>
      </c>
      <c r="AN69">
        <v>0</v>
      </c>
      <c r="AO69">
        <v>1</v>
      </c>
      <c r="AP69">
        <v>1</v>
      </c>
      <c r="AQ69">
        <v>0</v>
      </c>
      <c r="AR69">
        <v>0</v>
      </c>
      <c r="AS69" t="s">
        <v>3</v>
      </c>
      <c r="AT69">
        <v>666</v>
      </c>
      <c r="AU69" t="s">
        <v>164</v>
      </c>
      <c r="AV69">
        <v>0</v>
      </c>
      <c r="AW69">
        <v>2</v>
      </c>
      <c r="AX69">
        <v>90173025</v>
      </c>
      <c r="AY69">
        <v>1</v>
      </c>
      <c r="AZ69">
        <v>0</v>
      </c>
      <c r="BA69">
        <v>64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  <c r="BS69">
        <v>0</v>
      </c>
      <c r="BT69">
        <v>0</v>
      </c>
      <c r="BU69">
        <v>0</v>
      </c>
      <c r="BV69">
        <v>0</v>
      </c>
      <c r="BW69">
        <v>0</v>
      </c>
      <c r="CX69">
        <f>Y69*Source!I207</f>
        <v>0</v>
      </c>
      <c r="CY69">
        <f t="shared" ref="CY69:CY80" si="9">AA69</f>
        <v>28.72</v>
      </c>
      <c r="CZ69">
        <f t="shared" ref="CZ69:CZ80" si="10">AE69</f>
        <v>7.07</v>
      </c>
      <c r="DA69">
        <f t="shared" ref="DA69:DA80" si="11">AI69</f>
        <v>4.05</v>
      </c>
      <c r="DB69">
        <v>0</v>
      </c>
    </row>
    <row r="70" spans="1:106" x14ac:dyDescent="0.2">
      <c r="A70">
        <f>ROW(Source!A207)</f>
        <v>207</v>
      </c>
      <c r="B70">
        <v>90163004</v>
      </c>
      <c r="C70">
        <v>90164012</v>
      </c>
      <c r="D70">
        <v>7233230</v>
      </c>
      <c r="E70">
        <v>1</v>
      </c>
      <c r="F70">
        <v>1</v>
      </c>
      <c r="G70">
        <v>7157832</v>
      </c>
      <c r="H70">
        <v>3</v>
      </c>
      <c r="I70" t="s">
        <v>328</v>
      </c>
      <c r="J70" t="s">
        <v>329</v>
      </c>
      <c r="K70" t="s">
        <v>330</v>
      </c>
      <c r="L70">
        <v>1348</v>
      </c>
      <c r="N70">
        <v>1009</v>
      </c>
      <c r="O70" t="s">
        <v>39</v>
      </c>
      <c r="P70" t="s">
        <v>39</v>
      </c>
      <c r="Q70">
        <v>1000</v>
      </c>
      <c r="W70">
        <v>0</v>
      </c>
      <c r="X70">
        <v>-918604120</v>
      </c>
      <c r="Y70">
        <v>0</v>
      </c>
      <c r="AA70">
        <v>79996.44</v>
      </c>
      <c r="AB70">
        <v>0</v>
      </c>
      <c r="AC70">
        <v>0</v>
      </c>
      <c r="AD70">
        <v>0</v>
      </c>
      <c r="AE70">
        <v>7191.81</v>
      </c>
      <c r="AF70">
        <v>0</v>
      </c>
      <c r="AG70">
        <v>0</v>
      </c>
      <c r="AH70">
        <v>0</v>
      </c>
      <c r="AI70">
        <v>11.09</v>
      </c>
      <c r="AJ70">
        <v>1</v>
      </c>
      <c r="AK70">
        <v>1</v>
      </c>
      <c r="AL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 t="s">
        <v>3</v>
      </c>
      <c r="AT70">
        <v>0.32500000000000001</v>
      </c>
      <c r="AU70" t="s">
        <v>164</v>
      </c>
      <c r="AV70">
        <v>0</v>
      </c>
      <c r="AW70">
        <v>2</v>
      </c>
      <c r="AX70">
        <v>90173026</v>
      </c>
      <c r="AY70">
        <v>1</v>
      </c>
      <c r="AZ70">
        <v>0</v>
      </c>
      <c r="BA70">
        <v>65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0</v>
      </c>
      <c r="BV70">
        <v>0</v>
      </c>
      <c r="BW70">
        <v>0</v>
      </c>
      <c r="CX70">
        <f>Y70*Source!I207</f>
        <v>0</v>
      </c>
      <c r="CY70">
        <f t="shared" si="9"/>
        <v>79996.44</v>
      </c>
      <c r="CZ70">
        <f t="shared" si="10"/>
        <v>7191.81</v>
      </c>
      <c r="DA70">
        <f t="shared" si="11"/>
        <v>11.09</v>
      </c>
      <c r="DB70">
        <v>0</v>
      </c>
    </row>
    <row r="71" spans="1:106" x14ac:dyDescent="0.2">
      <c r="A71">
        <f>ROW(Source!A207)</f>
        <v>207</v>
      </c>
      <c r="B71">
        <v>90163004</v>
      </c>
      <c r="C71">
        <v>90164012</v>
      </c>
      <c r="D71">
        <v>7233263</v>
      </c>
      <c r="E71">
        <v>1</v>
      </c>
      <c r="F71">
        <v>1</v>
      </c>
      <c r="G71">
        <v>7157832</v>
      </c>
      <c r="H71">
        <v>3</v>
      </c>
      <c r="I71" t="s">
        <v>367</v>
      </c>
      <c r="J71" t="s">
        <v>368</v>
      </c>
      <c r="K71" t="s">
        <v>369</v>
      </c>
      <c r="L71">
        <v>1354</v>
      </c>
      <c r="N71">
        <v>16987630</v>
      </c>
      <c r="O71" t="s">
        <v>342</v>
      </c>
      <c r="P71" t="s">
        <v>342</v>
      </c>
      <c r="Q71">
        <v>1</v>
      </c>
      <c r="W71">
        <v>0</v>
      </c>
      <c r="X71">
        <v>14831092</v>
      </c>
      <c r="Y71">
        <v>0</v>
      </c>
      <c r="AA71">
        <v>40.58</v>
      </c>
      <c r="AB71">
        <v>0</v>
      </c>
      <c r="AC71">
        <v>0</v>
      </c>
      <c r="AD71">
        <v>0</v>
      </c>
      <c r="AE71">
        <v>13.76</v>
      </c>
      <c r="AF71">
        <v>0</v>
      </c>
      <c r="AG71">
        <v>0</v>
      </c>
      <c r="AH71">
        <v>0</v>
      </c>
      <c r="AI71">
        <v>2.94</v>
      </c>
      <c r="AJ71">
        <v>1</v>
      </c>
      <c r="AK71">
        <v>1</v>
      </c>
      <c r="AL71">
        <v>1</v>
      </c>
      <c r="AN71">
        <v>0</v>
      </c>
      <c r="AO71">
        <v>1</v>
      </c>
      <c r="AP71">
        <v>1</v>
      </c>
      <c r="AQ71">
        <v>0</v>
      </c>
      <c r="AR71">
        <v>0</v>
      </c>
      <c r="AS71" t="s">
        <v>3</v>
      </c>
      <c r="AT71">
        <v>6.6</v>
      </c>
      <c r="AU71" t="s">
        <v>164</v>
      </c>
      <c r="AV71">
        <v>0</v>
      </c>
      <c r="AW71">
        <v>2</v>
      </c>
      <c r="AX71">
        <v>90173027</v>
      </c>
      <c r="AY71">
        <v>1</v>
      </c>
      <c r="AZ71">
        <v>0</v>
      </c>
      <c r="BA71">
        <v>66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  <c r="BS71">
        <v>0</v>
      </c>
      <c r="BT71">
        <v>0</v>
      </c>
      <c r="BU71">
        <v>0</v>
      </c>
      <c r="BV71">
        <v>0</v>
      </c>
      <c r="BW71">
        <v>0</v>
      </c>
      <c r="CX71">
        <f>Y71*Source!I207</f>
        <v>0</v>
      </c>
      <c r="CY71">
        <f t="shared" si="9"/>
        <v>40.58</v>
      </c>
      <c r="CZ71">
        <f t="shared" si="10"/>
        <v>13.76</v>
      </c>
      <c r="DA71">
        <f t="shared" si="11"/>
        <v>2.94</v>
      </c>
      <c r="DB71">
        <v>0</v>
      </c>
    </row>
    <row r="72" spans="1:106" x14ac:dyDescent="0.2">
      <c r="A72">
        <f>ROW(Source!A207)</f>
        <v>207</v>
      </c>
      <c r="B72">
        <v>90163004</v>
      </c>
      <c r="C72">
        <v>90164012</v>
      </c>
      <c r="D72">
        <v>7231970</v>
      </c>
      <c r="E72">
        <v>1</v>
      </c>
      <c r="F72">
        <v>1</v>
      </c>
      <c r="G72">
        <v>7157832</v>
      </c>
      <c r="H72">
        <v>3</v>
      </c>
      <c r="I72" t="s">
        <v>370</v>
      </c>
      <c r="J72" t="s">
        <v>371</v>
      </c>
      <c r="K72" t="s">
        <v>372</v>
      </c>
      <c r="L72">
        <v>1348</v>
      </c>
      <c r="N72">
        <v>1009</v>
      </c>
      <c r="O72" t="s">
        <v>39</v>
      </c>
      <c r="P72" t="s">
        <v>39</v>
      </c>
      <c r="Q72">
        <v>1000</v>
      </c>
      <c r="W72">
        <v>0</v>
      </c>
      <c r="X72">
        <v>1411643647</v>
      </c>
      <c r="Y72">
        <v>0</v>
      </c>
      <c r="AA72">
        <v>63884.47</v>
      </c>
      <c r="AB72">
        <v>0</v>
      </c>
      <c r="AC72">
        <v>0</v>
      </c>
      <c r="AD72">
        <v>0</v>
      </c>
      <c r="AE72">
        <v>3246.35</v>
      </c>
      <c r="AF72">
        <v>0</v>
      </c>
      <c r="AG72">
        <v>0</v>
      </c>
      <c r="AH72">
        <v>0</v>
      </c>
      <c r="AI72">
        <v>19.62</v>
      </c>
      <c r="AJ72">
        <v>1</v>
      </c>
      <c r="AK72">
        <v>1</v>
      </c>
      <c r="AL72">
        <v>1</v>
      </c>
      <c r="AN72">
        <v>0</v>
      </c>
      <c r="AO72">
        <v>1</v>
      </c>
      <c r="AP72">
        <v>1</v>
      </c>
      <c r="AQ72">
        <v>0</v>
      </c>
      <c r="AR72">
        <v>0</v>
      </c>
      <c r="AS72" t="s">
        <v>3</v>
      </c>
      <c r="AT72">
        <v>0.04</v>
      </c>
      <c r="AU72" t="s">
        <v>164</v>
      </c>
      <c r="AV72">
        <v>0</v>
      </c>
      <c r="AW72">
        <v>2</v>
      </c>
      <c r="AX72">
        <v>90173028</v>
      </c>
      <c r="AY72">
        <v>1</v>
      </c>
      <c r="AZ72">
        <v>0</v>
      </c>
      <c r="BA72">
        <v>67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CX72">
        <f>Y72*Source!I207</f>
        <v>0</v>
      </c>
      <c r="CY72">
        <f t="shared" si="9"/>
        <v>63884.47</v>
      </c>
      <c r="CZ72">
        <f t="shared" si="10"/>
        <v>3246.35</v>
      </c>
      <c r="DA72">
        <f t="shared" si="11"/>
        <v>19.62</v>
      </c>
      <c r="DB72">
        <v>0</v>
      </c>
    </row>
    <row r="73" spans="1:106" x14ac:dyDescent="0.2">
      <c r="A73">
        <f>ROW(Source!A207)</f>
        <v>207</v>
      </c>
      <c r="B73">
        <v>90163004</v>
      </c>
      <c r="C73">
        <v>90164012</v>
      </c>
      <c r="D73">
        <v>7243314</v>
      </c>
      <c r="E73">
        <v>1</v>
      </c>
      <c r="F73">
        <v>1</v>
      </c>
      <c r="G73">
        <v>7157832</v>
      </c>
      <c r="H73">
        <v>3</v>
      </c>
      <c r="I73" t="s">
        <v>373</v>
      </c>
      <c r="J73" t="s">
        <v>374</v>
      </c>
      <c r="K73" t="s">
        <v>375</v>
      </c>
      <c r="L73">
        <v>1035</v>
      </c>
      <c r="N73">
        <v>1013</v>
      </c>
      <c r="O73" t="s">
        <v>58</v>
      </c>
      <c r="P73" t="s">
        <v>58</v>
      </c>
      <c r="Q73">
        <v>1</v>
      </c>
      <c r="W73">
        <v>0</v>
      </c>
      <c r="X73">
        <v>866318315</v>
      </c>
      <c r="Y73">
        <v>0</v>
      </c>
      <c r="AA73">
        <v>588.96</v>
      </c>
      <c r="AB73">
        <v>0</v>
      </c>
      <c r="AC73">
        <v>0</v>
      </c>
      <c r="AD73">
        <v>0</v>
      </c>
      <c r="AE73">
        <v>88.7</v>
      </c>
      <c r="AF73">
        <v>0</v>
      </c>
      <c r="AG73">
        <v>0</v>
      </c>
      <c r="AH73">
        <v>0</v>
      </c>
      <c r="AI73">
        <v>6.62</v>
      </c>
      <c r="AJ73">
        <v>1</v>
      </c>
      <c r="AK73">
        <v>1</v>
      </c>
      <c r="AL73">
        <v>1</v>
      </c>
      <c r="AN73">
        <v>0</v>
      </c>
      <c r="AO73">
        <v>1</v>
      </c>
      <c r="AP73">
        <v>1</v>
      </c>
      <c r="AQ73">
        <v>0</v>
      </c>
      <c r="AR73">
        <v>0</v>
      </c>
      <c r="AS73" t="s">
        <v>3</v>
      </c>
      <c r="AT73">
        <v>5</v>
      </c>
      <c r="AU73" t="s">
        <v>164</v>
      </c>
      <c r="AV73">
        <v>0</v>
      </c>
      <c r="AW73">
        <v>2</v>
      </c>
      <c r="AX73">
        <v>90173029</v>
      </c>
      <c r="AY73">
        <v>1</v>
      </c>
      <c r="AZ73">
        <v>0</v>
      </c>
      <c r="BA73">
        <v>68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CX73">
        <f>Y73*Source!I207</f>
        <v>0</v>
      </c>
      <c r="CY73">
        <f t="shared" si="9"/>
        <v>588.96</v>
      </c>
      <c r="CZ73">
        <f t="shared" si="10"/>
        <v>88.7</v>
      </c>
      <c r="DA73">
        <f t="shared" si="11"/>
        <v>6.62</v>
      </c>
      <c r="DB73">
        <v>0</v>
      </c>
    </row>
    <row r="74" spans="1:106" x14ac:dyDescent="0.2">
      <c r="A74">
        <f>ROW(Source!A207)</f>
        <v>207</v>
      </c>
      <c r="B74">
        <v>90163004</v>
      </c>
      <c r="C74">
        <v>90164012</v>
      </c>
      <c r="D74">
        <v>7243318</v>
      </c>
      <c r="E74">
        <v>1</v>
      </c>
      <c r="F74">
        <v>1</v>
      </c>
      <c r="G74">
        <v>7157832</v>
      </c>
      <c r="H74">
        <v>3</v>
      </c>
      <c r="I74" t="s">
        <v>376</v>
      </c>
      <c r="J74" t="s">
        <v>377</v>
      </c>
      <c r="K74" t="s">
        <v>378</v>
      </c>
      <c r="L74">
        <v>1035</v>
      </c>
      <c r="N74">
        <v>1013</v>
      </c>
      <c r="O74" t="s">
        <v>58</v>
      </c>
      <c r="P74" t="s">
        <v>58</v>
      </c>
      <c r="Q74">
        <v>1</v>
      </c>
      <c r="W74">
        <v>0</v>
      </c>
      <c r="X74">
        <v>1756228405</v>
      </c>
      <c r="Y74">
        <v>0</v>
      </c>
      <c r="AA74">
        <v>1529.61</v>
      </c>
      <c r="AB74">
        <v>0</v>
      </c>
      <c r="AC74">
        <v>0</v>
      </c>
      <c r="AD74">
        <v>0</v>
      </c>
      <c r="AE74">
        <v>207.77</v>
      </c>
      <c r="AF74">
        <v>0</v>
      </c>
      <c r="AG74">
        <v>0</v>
      </c>
      <c r="AH74">
        <v>0</v>
      </c>
      <c r="AI74">
        <v>7.34</v>
      </c>
      <c r="AJ74">
        <v>1</v>
      </c>
      <c r="AK74">
        <v>1</v>
      </c>
      <c r="AL74">
        <v>1</v>
      </c>
      <c r="AN74">
        <v>0</v>
      </c>
      <c r="AO74">
        <v>1</v>
      </c>
      <c r="AP74">
        <v>1</v>
      </c>
      <c r="AQ74">
        <v>0</v>
      </c>
      <c r="AR74">
        <v>0</v>
      </c>
      <c r="AS74" t="s">
        <v>3</v>
      </c>
      <c r="AT74">
        <v>4</v>
      </c>
      <c r="AU74" t="s">
        <v>164</v>
      </c>
      <c r="AV74">
        <v>0</v>
      </c>
      <c r="AW74">
        <v>2</v>
      </c>
      <c r="AX74">
        <v>90173030</v>
      </c>
      <c r="AY74">
        <v>1</v>
      </c>
      <c r="AZ74">
        <v>0</v>
      </c>
      <c r="BA74">
        <v>69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CX74">
        <f>Y74*Source!I207</f>
        <v>0</v>
      </c>
      <c r="CY74">
        <f t="shared" si="9"/>
        <v>1529.61</v>
      </c>
      <c r="CZ74">
        <f t="shared" si="10"/>
        <v>207.77</v>
      </c>
      <c r="DA74">
        <f t="shared" si="11"/>
        <v>7.34</v>
      </c>
      <c r="DB74">
        <v>0</v>
      </c>
    </row>
    <row r="75" spans="1:106" x14ac:dyDescent="0.2">
      <c r="A75">
        <f>ROW(Source!A207)</f>
        <v>207</v>
      </c>
      <c r="B75">
        <v>90163004</v>
      </c>
      <c r="C75">
        <v>90164012</v>
      </c>
      <c r="D75">
        <v>7243926</v>
      </c>
      <c r="E75">
        <v>1</v>
      </c>
      <c r="F75">
        <v>1</v>
      </c>
      <c r="G75">
        <v>7157832</v>
      </c>
      <c r="H75">
        <v>3</v>
      </c>
      <c r="I75" t="s">
        <v>379</v>
      </c>
      <c r="J75" t="s">
        <v>380</v>
      </c>
      <c r="K75" t="s">
        <v>381</v>
      </c>
      <c r="L75">
        <v>1354</v>
      </c>
      <c r="N75">
        <v>16987630</v>
      </c>
      <c r="O75" t="s">
        <v>342</v>
      </c>
      <c r="P75" t="s">
        <v>342</v>
      </c>
      <c r="Q75">
        <v>1</v>
      </c>
      <c r="W75">
        <v>0</v>
      </c>
      <c r="X75">
        <v>1379673145</v>
      </c>
      <c r="Y75">
        <v>0</v>
      </c>
      <c r="AA75">
        <v>4945.57</v>
      </c>
      <c r="AB75">
        <v>0</v>
      </c>
      <c r="AC75">
        <v>0</v>
      </c>
      <c r="AD75">
        <v>0</v>
      </c>
      <c r="AE75">
        <v>1008.34</v>
      </c>
      <c r="AF75">
        <v>0</v>
      </c>
      <c r="AG75">
        <v>0</v>
      </c>
      <c r="AH75">
        <v>0</v>
      </c>
      <c r="AI75">
        <v>4.8899999999999997</v>
      </c>
      <c r="AJ75">
        <v>1</v>
      </c>
      <c r="AK75">
        <v>1</v>
      </c>
      <c r="AL75">
        <v>1</v>
      </c>
      <c r="AN75">
        <v>0</v>
      </c>
      <c r="AO75">
        <v>1</v>
      </c>
      <c r="AP75">
        <v>1</v>
      </c>
      <c r="AQ75">
        <v>0</v>
      </c>
      <c r="AR75">
        <v>0</v>
      </c>
      <c r="AS75" t="s">
        <v>3</v>
      </c>
      <c r="AT75">
        <v>5</v>
      </c>
      <c r="AU75" t="s">
        <v>164</v>
      </c>
      <c r="AV75">
        <v>0</v>
      </c>
      <c r="AW75">
        <v>2</v>
      </c>
      <c r="AX75">
        <v>90173031</v>
      </c>
      <c r="AY75">
        <v>1</v>
      </c>
      <c r="AZ75">
        <v>0</v>
      </c>
      <c r="BA75">
        <v>70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CX75">
        <f>Y75*Source!I207</f>
        <v>0</v>
      </c>
      <c r="CY75">
        <f t="shared" si="9"/>
        <v>4945.57</v>
      </c>
      <c r="CZ75">
        <f t="shared" si="10"/>
        <v>1008.34</v>
      </c>
      <c r="DA75">
        <f t="shared" si="11"/>
        <v>4.8899999999999997</v>
      </c>
      <c r="DB75">
        <v>0</v>
      </c>
    </row>
    <row r="76" spans="1:106" x14ac:dyDescent="0.2">
      <c r="A76">
        <f>ROW(Source!A207)</f>
        <v>207</v>
      </c>
      <c r="B76">
        <v>90163004</v>
      </c>
      <c r="C76">
        <v>90164012</v>
      </c>
      <c r="D76">
        <v>7160056</v>
      </c>
      <c r="E76">
        <v>7157832</v>
      </c>
      <c r="F76">
        <v>1</v>
      </c>
      <c r="G76">
        <v>7157832</v>
      </c>
      <c r="H76">
        <v>3</v>
      </c>
      <c r="I76" t="s">
        <v>382</v>
      </c>
      <c r="J76" t="s">
        <v>3</v>
      </c>
      <c r="K76" t="s">
        <v>383</v>
      </c>
      <c r="L76">
        <v>1301</v>
      </c>
      <c r="N76">
        <v>1003</v>
      </c>
      <c r="O76" t="s">
        <v>18</v>
      </c>
      <c r="P76" t="s">
        <v>18</v>
      </c>
      <c r="Q76">
        <v>1</v>
      </c>
      <c r="W76">
        <v>0</v>
      </c>
      <c r="X76">
        <v>-1393579317</v>
      </c>
      <c r="Y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1</v>
      </c>
      <c r="AJ76">
        <v>1</v>
      </c>
      <c r="AK76">
        <v>1</v>
      </c>
      <c r="AL76">
        <v>1</v>
      </c>
      <c r="AN76">
        <v>0</v>
      </c>
      <c r="AO76">
        <v>0</v>
      </c>
      <c r="AP76">
        <v>1</v>
      </c>
      <c r="AQ76">
        <v>0</v>
      </c>
      <c r="AR76">
        <v>0</v>
      </c>
      <c r="AS76" t="s">
        <v>3</v>
      </c>
      <c r="AT76">
        <v>1000</v>
      </c>
      <c r="AU76" t="s">
        <v>164</v>
      </c>
      <c r="AV76">
        <v>0</v>
      </c>
      <c r="AW76">
        <v>2</v>
      </c>
      <c r="AX76">
        <v>90173032</v>
      </c>
      <c r="AY76">
        <v>1</v>
      </c>
      <c r="AZ76">
        <v>0</v>
      </c>
      <c r="BA76">
        <v>71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CX76">
        <f>Y76*Source!I207</f>
        <v>0</v>
      </c>
      <c r="CY76">
        <f t="shared" si="9"/>
        <v>0</v>
      </c>
      <c r="CZ76">
        <f t="shared" si="10"/>
        <v>0</v>
      </c>
      <c r="DA76">
        <f t="shared" si="11"/>
        <v>1</v>
      </c>
      <c r="DB76">
        <v>0</v>
      </c>
    </row>
    <row r="77" spans="1:106" x14ac:dyDescent="0.2">
      <c r="A77">
        <f>ROW(Source!A207)</f>
        <v>207</v>
      </c>
      <c r="B77">
        <v>90163004</v>
      </c>
      <c r="C77">
        <v>90164012</v>
      </c>
      <c r="D77">
        <v>7161464</v>
      </c>
      <c r="E77">
        <v>7157832</v>
      </c>
      <c r="F77">
        <v>1</v>
      </c>
      <c r="G77">
        <v>7157832</v>
      </c>
      <c r="H77">
        <v>3</v>
      </c>
      <c r="I77" t="s">
        <v>384</v>
      </c>
      <c r="J77" t="s">
        <v>3</v>
      </c>
      <c r="K77" t="s">
        <v>385</v>
      </c>
      <c r="L77">
        <v>1348</v>
      </c>
      <c r="N77">
        <v>1009</v>
      </c>
      <c r="O77" t="s">
        <v>39</v>
      </c>
      <c r="P77" t="s">
        <v>39</v>
      </c>
      <c r="Q77">
        <v>1000</v>
      </c>
      <c r="W77">
        <v>0</v>
      </c>
      <c r="X77">
        <v>-249401713</v>
      </c>
      <c r="Y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1</v>
      </c>
      <c r="AJ77">
        <v>1</v>
      </c>
      <c r="AK77">
        <v>1</v>
      </c>
      <c r="AL77">
        <v>1</v>
      </c>
      <c r="AN77">
        <v>0</v>
      </c>
      <c r="AO77">
        <v>0</v>
      </c>
      <c r="AP77">
        <v>1</v>
      </c>
      <c r="AQ77">
        <v>0</v>
      </c>
      <c r="AR77">
        <v>0</v>
      </c>
      <c r="AS77" t="s">
        <v>3</v>
      </c>
      <c r="AT77">
        <v>0</v>
      </c>
      <c r="AU77" t="s">
        <v>164</v>
      </c>
      <c r="AV77">
        <v>0</v>
      </c>
      <c r="AW77">
        <v>2</v>
      </c>
      <c r="AX77">
        <v>90173033</v>
      </c>
      <c r="AY77">
        <v>1</v>
      </c>
      <c r="AZ77">
        <v>0</v>
      </c>
      <c r="BA77">
        <v>72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CX77">
        <f>Y77*Source!I207</f>
        <v>0</v>
      </c>
      <c r="CY77">
        <f t="shared" si="9"/>
        <v>0</v>
      </c>
      <c r="CZ77">
        <f t="shared" si="10"/>
        <v>0</v>
      </c>
      <c r="DA77">
        <f t="shared" si="11"/>
        <v>1</v>
      </c>
      <c r="DB77">
        <v>0</v>
      </c>
    </row>
    <row r="78" spans="1:106" x14ac:dyDescent="0.2">
      <c r="A78">
        <f>ROW(Source!A207)</f>
        <v>207</v>
      </c>
      <c r="B78">
        <v>90163004</v>
      </c>
      <c r="C78">
        <v>90164012</v>
      </c>
      <c r="D78">
        <v>7170582</v>
      </c>
      <c r="E78">
        <v>7157832</v>
      </c>
      <c r="F78">
        <v>1</v>
      </c>
      <c r="G78">
        <v>7157832</v>
      </c>
      <c r="H78">
        <v>3</v>
      </c>
      <c r="I78" t="s">
        <v>386</v>
      </c>
      <c r="J78" t="s">
        <v>3</v>
      </c>
      <c r="K78" t="s">
        <v>387</v>
      </c>
      <c r="L78">
        <v>1354</v>
      </c>
      <c r="N78">
        <v>16987630</v>
      </c>
      <c r="O78" t="s">
        <v>342</v>
      </c>
      <c r="P78" t="s">
        <v>342</v>
      </c>
      <c r="Q78">
        <v>1</v>
      </c>
      <c r="W78">
        <v>0</v>
      </c>
      <c r="X78">
        <v>-846953337</v>
      </c>
      <c r="Y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1</v>
      </c>
      <c r="AJ78">
        <v>1</v>
      </c>
      <c r="AK78">
        <v>1</v>
      </c>
      <c r="AL78">
        <v>1</v>
      </c>
      <c r="AN78">
        <v>0</v>
      </c>
      <c r="AO78">
        <v>0</v>
      </c>
      <c r="AP78">
        <v>1</v>
      </c>
      <c r="AQ78">
        <v>0</v>
      </c>
      <c r="AR78">
        <v>0</v>
      </c>
      <c r="AS78" t="s">
        <v>3</v>
      </c>
      <c r="AT78">
        <v>0</v>
      </c>
      <c r="AU78" t="s">
        <v>164</v>
      </c>
      <c r="AV78">
        <v>0</v>
      </c>
      <c r="AW78">
        <v>2</v>
      </c>
      <c r="AX78">
        <v>90173034</v>
      </c>
      <c r="AY78">
        <v>1</v>
      </c>
      <c r="AZ78">
        <v>0</v>
      </c>
      <c r="BA78">
        <v>73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CX78">
        <f>Y78*Source!I207</f>
        <v>0</v>
      </c>
      <c r="CY78">
        <f t="shared" si="9"/>
        <v>0</v>
      </c>
      <c r="CZ78">
        <f t="shared" si="10"/>
        <v>0</v>
      </c>
      <c r="DA78">
        <f t="shared" si="11"/>
        <v>1</v>
      </c>
      <c r="DB78">
        <v>0</v>
      </c>
    </row>
    <row r="79" spans="1:106" x14ac:dyDescent="0.2">
      <c r="A79">
        <f>ROW(Source!A207)</f>
        <v>207</v>
      </c>
      <c r="B79">
        <v>90163004</v>
      </c>
      <c r="C79">
        <v>90164012</v>
      </c>
      <c r="D79">
        <v>7174751</v>
      </c>
      <c r="E79">
        <v>7157832</v>
      </c>
      <c r="F79">
        <v>1</v>
      </c>
      <c r="G79">
        <v>7157832</v>
      </c>
      <c r="H79">
        <v>3</v>
      </c>
      <c r="I79" t="s">
        <v>388</v>
      </c>
      <c r="J79" t="s">
        <v>3</v>
      </c>
      <c r="K79" t="s">
        <v>389</v>
      </c>
      <c r="L79">
        <v>1354</v>
      </c>
      <c r="N79">
        <v>16987630</v>
      </c>
      <c r="O79" t="s">
        <v>342</v>
      </c>
      <c r="P79" t="s">
        <v>342</v>
      </c>
      <c r="Q79">
        <v>1</v>
      </c>
      <c r="W79">
        <v>0</v>
      </c>
      <c r="X79">
        <v>-1621171133</v>
      </c>
      <c r="Y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1</v>
      </c>
      <c r="AJ79">
        <v>1</v>
      </c>
      <c r="AK79">
        <v>1</v>
      </c>
      <c r="AL79">
        <v>1</v>
      </c>
      <c r="AN79">
        <v>0</v>
      </c>
      <c r="AO79">
        <v>0</v>
      </c>
      <c r="AP79">
        <v>1</v>
      </c>
      <c r="AQ79">
        <v>0</v>
      </c>
      <c r="AR79">
        <v>0</v>
      </c>
      <c r="AS79" t="s">
        <v>3</v>
      </c>
      <c r="AT79">
        <v>0</v>
      </c>
      <c r="AU79" t="s">
        <v>164</v>
      </c>
      <c r="AV79">
        <v>0</v>
      </c>
      <c r="AW79">
        <v>2</v>
      </c>
      <c r="AX79">
        <v>90173035</v>
      </c>
      <c r="AY79">
        <v>1</v>
      </c>
      <c r="AZ79">
        <v>0</v>
      </c>
      <c r="BA79">
        <v>74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CX79">
        <f>Y79*Source!I207</f>
        <v>0</v>
      </c>
      <c r="CY79">
        <f t="shared" si="9"/>
        <v>0</v>
      </c>
      <c r="CZ79">
        <f t="shared" si="10"/>
        <v>0</v>
      </c>
      <c r="DA79">
        <f t="shared" si="11"/>
        <v>1</v>
      </c>
      <c r="DB79">
        <v>0</v>
      </c>
    </row>
    <row r="80" spans="1:106" x14ac:dyDescent="0.2">
      <c r="A80">
        <f>ROW(Source!A207)</f>
        <v>207</v>
      </c>
      <c r="B80">
        <v>90163004</v>
      </c>
      <c r="C80">
        <v>90164012</v>
      </c>
      <c r="D80">
        <v>7174770</v>
      </c>
      <c r="E80">
        <v>7157832</v>
      </c>
      <c r="F80">
        <v>1</v>
      </c>
      <c r="G80">
        <v>7157832</v>
      </c>
      <c r="H80">
        <v>3</v>
      </c>
      <c r="I80" t="s">
        <v>390</v>
      </c>
      <c r="J80" t="s">
        <v>3</v>
      </c>
      <c r="K80" t="s">
        <v>391</v>
      </c>
      <c r="L80">
        <v>1354</v>
      </c>
      <c r="N80">
        <v>16987630</v>
      </c>
      <c r="O80" t="s">
        <v>342</v>
      </c>
      <c r="P80" t="s">
        <v>342</v>
      </c>
      <c r="Q80">
        <v>1</v>
      </c>
      <c r="W80">
        <v>0</v>
      </c>
      <c r="X80">
        <v>-302220325</v>
      </c>
      <c r="Y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1</v>
      </c>
      <c r="AJ80">
        <v>1</v>
      </c>
      <c r="AK80">
        <v>1</v>
      </c>
      <c r="AL80">
        <v>1</v>
      </c>
      <c r="AN80">
        <v>0</v>
      </c>
      <c r="AO80">
        <v>0</v>
      </c>
      <c r="AP80">
        <v>1</v>
      </c>
      <c r="AQ80">
        <v>0</v>
      </c>
      <c r="AR80">
        <v>0</v>
      </c>
      <c r="AS80" t="s">
        <v>3</v>
      </c>
      <c r="AT80">
        <v>0</v>
      </c>
      <c r="AU80" t="s">
        <v>164</v>
      </c>
      <c r="AV80">
        <v>0</v>
      </c>
      <c r="AW80">
        <v>2</v>
      </c>
      <c r="AX80">
        <v>90173036</v>
      </c>
      <c r="AY80">
        <v>1</v>
      </c>
      <c r="AZ80">
        <v>0</v>
      </c>
      <c r="BA80">
        <v>75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CX80">
        <f>Y80*Source!I207</f>
        <v>0</v>
      </c>
      <c r="CY80">
        <f t="shared" si="9"/>
        <v>0</v>
      </c>
      <c r="CZ80">
        <f t="shared" si="10"/>
        <v>0</v>
      </c>
      <c r="DA80">
        <f t="shared" si="11"/>
        <v>1</v>
      </c>
      <c r="DB80">
        <v>0</v>
      </c>
    </row>
    <row r="81" spans="1:106" x14ac:dyDescent="0.2">
      <c r="A81">
        <f>ROW(Source!A208)</f>
        <v>208</v>
      </c>
      <c r="B81">
        <v>90163004</v>
      </c>
      <c r="C81">
        <v>90173056</v>
      </c>
      <c r="D81">
        <v>7157835</v>
      </c>
      <c r="E81">
        <v>7157832</v>
      </c>
      <c r="F81">
        <v>1</v>
      </c>
      <c r="G81">
        <v>7157832</v>
      </c>
      <c r="H81">
        <v>1</v>
      </c>
      <c r="I81" t="s">
        <v>276</v>
      </c>
      <c r="J81" t="s">
        <v>3</v>
      </c>
      <c r="K81" t="s">
        <v>277</v>
      </c>
      <c r="L81">
        <v>1191</v>
      </c>
      <c r="N81">
        <v>1013</v>
      </c>
      <c r="O81" t="s">
        <v>278</v>
      </c>
      <c r="P81" t="s">
        <v>278</v>
      </c>
      <c r="Q81">
        <v>1</v>
      </c>
      <c r="W81">
        <v>0</v>
      </c>
      <c r="X81">
        <v>946207192</v>
      </c>
      <c r="Y81">
        <v>431.94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1</v>
      </c>
      <c r="AJ81">
        <v>1</v>
      </c>
      <c r="AK81">
        <v>1</v>
      </c>
      <c r="AL81">
        <v>1</v>
      </c>
      <c r="AN81">
        <v>0</v>
      </c>
      <c r="AO81">
        <v>1</v>
      </c>
      <c r="AP81">
        <v>1</v>
      </c>
      <c r="AQ81">
        <v>0</v>
      </c>
      <c r="AR81">
        <v>0</v>
      </c>
      <c r="AS81" t="s">
        <v>3</v>
      </c>
      <c r="AT81">
        <v>626</v>
      </c>
      <c r="AU81" t="s">
        <v>249</v>
      </c>
      <c r="AV81">
        <v>1</v>
      </c>
      <c r="AW81">
        <v>2</v>
      </c>
      <c r="AX81">
        <v>90173057</v>
      </c>
      <c r="AY81">
        <v>1</v>
      </c>
      <c r="AZ81">
        <v>0</v>
      </c>
      <c r="BA81">
        <v>76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CX81">
        <f>Y81*Source!I208</f>
        <v>10.36656</v>
      </c>
      <c r="CY81">
        <f>AD81</f>
        <v>0</v>
      </c>
      <c r="CZ81">
        <f>AH81</f>
        <v>0</v>
      </c>
      <c r="DA81">
        <f>AL81</f>
        <v>1</v>
      </c>
      <c r="DB81">
        <v>0</v>
      </c>
    </row>
    <row r="82" spans="1:106" x14ac:dyDescent="0.2">
      <c r="A82">
        <f>ROW(Source!A208)</f>
        <v>208</v>
      </c>
      <c r="B82">
        <v>90163004</v>
      </c>
      <c r="C82">
        <v>90173056</v>
      </c>
      <c r="D82">
        <v>7231131</v>
      </c>
      <c r="E82">
        <v>1</v>
      </c>
      <c r="F82">
        <v>1</v>
      </c>
      <c r="G82">
        <v>7157832</v>
      </c>
      <c r="H82">
        <v>2</v>
      </c>
      <c r="I82" t="s">
        <v>349</v>
      </c>
      <c r="J82" t="s">
        <v>350</v>
      </c>
      <c r="K82" t="s">
        <v>351</v>
      </c>
      <c r="L82">
        <v>1368</v>
      </c>
      <c r="N82">
        <v>1011</v>
      </c>
      <c r="O82" t="s">
        <v>286</v>
      </c>
      <c r="P82" t="s">
        <v>286</v>
      </c>
      <c r="Q82">
        <v>1</v>
      </c>
      <c r="W82">
        <v>0</v>
      </c>
      <c r="X82">
        <v>914794801</v>
      </c>
      <c r="Y82">
        <v>10.35</v>
      </c>
      <c r="AA82">
        <v>0</v>
      </c>
      <c r="AB82">
        <v>869.32</v>
      </c>
      <c r="AC82">
        <v>349.87</v>
      </c>
      <c r="AD82">
        <v>0</v>
      </c>
      <c r="AE82">
        <v>0</v>
      </c>
      <c r="AF82">
        <v>105.81</v>
      </c>
      <c r="AG82">
        <v>18.78</v>
      </c>
      <c r="AH82">
        <v>0</v>
      </c>
      <c r="AI82">
        <v>1</v>
      </c>
      <c r="AJ82">
        <v>7.7</v>
      </c>
      <c r="AK82">
        <v>17.46</v>
      </c>
      <c r="AL82">
        <v>1</v>
      </c>
      <c r="AN82">
        <v>0</v>
      </c>
      <c r="AO82">
        <v>1</v>
      </c>
      <c r="AP82">
        <v>1</v>
      </c>
      <c r="AQ82">
        <v>0</v>
      </c>
      <c r="AR82">
        <v>0</v>
      </c>
      <c r="AS82" t="s">
        <v>3</v>
      </c>
      <c r="AT82">
        <v>15</v>
      </c>
      <c r="AU82" t="s">
        <v>249</v>
      </c>
      <c r="AV82">
        <v>0</v>
      </c>
      <c r="AW82">
        <v>2</v>
      </c>
      <c r="AX82">
        <v>90173058</v>
      </c>
      <c r="AY82">
        <v>1</v>
      </c>
      <c r="AZ82">
        <v>0</v>
      </c>
      <c r="BA82">
        <v>77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CX82">
        <f>Y82*Source!I208</f>
        <v>0.24840000000000001</v>
      </c>
      <c r="CY82">
        <f t="shared" ref="CY82:CY87" si="12">AB82</f>
        <v>869.32</v>
      </c>
      <c r="CZ82">
        <f t="shared" ref="CZ82:CZ87" si="13">AF82</f>
        <v>105.81</v>
      </c>
      <c r="DA82">
        <f t="shared" ref="DA82:DA87" si="14">AJ82</f>
        <v>7.7</v>
      </c>
      <c r="DB82">
        <v>0</v>
      </c>
    </row>
    <row r="83" spans="1:106" x14ac:dyDescent="0.2">
      <c r="A83">
        <f>ROW(Source!A208)</f>
        <v>208</v>
      </c>
      <c r="B83">
        <v>90163004</v>
      </c>
      <c r="C83">
        <v>90173056</v>
      </c>
      <c r="D83">
        <v>7231189</v>
      </c>
      <c r="E83">
        <v>1</v>
      </c>
      <c r="F83">
        <v>1</v>
      </c>
      <c r="G83">
        <v>7157832</v>
      </c>
      <c r="H83">
        <v>2</v>
      </c>
      <c r="I83" t="s">
        <v>392</v>
      </c>
      <c r="J83" t="s">
        <v>393</v>
      </c>
      <c r="K83" t="s">
        <v>394</v>
      </c>
      <c r="L83">
        <v>1368</v>
      </c>
      <c r="N83">
        <v>1011</v>
      </c>
      <c r="O83" t="s">
        <v>286</v>
      </c>
      <c r="P83" t="s">
        <v>286</v>
      </c>
      <c r="Q83">
        <v>1</v>
      </c>
      <c r="W83">
        <v>0</v>
      </c>
      <c r="X83">
        <v>1962119094</v>
      </c>
      <c r="Y83">
        <v>20.7</v>
      </c>
      <c r="AA83">
        <v>0</v>
      </c>
      <c r="AB83">
        <v>31.19</v>
      </c>
      <c r="AC83">
        <v>5.4</v>
      </c>
      <c r="AD83">
        <v>0</v>
      </c>
      <c r="AE83">
        <v>0</v>
      </c>
      <c r="AF83">
        <v>8.1199999999999992</v>
      </c>
      <c r="AG83">
        <v>0.28999999999999998</v>
      </c>
      <c r="AH83">
        <v>0</v>
      </c>
      <c r="AI83">
        <v>1</v>
      </c>
      <c r="AJ83">
        <v>3.6</v>
      </c>
      <c r="AK83">
        <v>17.46</v>
      </c>
      <c r="AL83">
        <v>1</v>
      </c>
      <c r="AN83">
        <v>0</v>
      </c>
      <c r="AO83">
        <v>1</v>
      </c>
      <c r="AP83">
        <v>1</v>
      </c>
      <c r="AQ83">
        <v>0</v>
      </c>
      <c r="AR83">
        <v>0</v>
      </c>
      <c r="AS83" t="s">
        <v>3</v>
      </c>
      <c r="AT83">
        <v>30</v>
      </c>
      <c r="AU83" t="s">
        <v>249</v>
      </c>
      <c r="AV83">
        <v>0</v>
      </c>
      <c r="AW83">
        <v>2</v>
      </c>
      <c r="AX83">
        <v>90173059</v>
      </c>
      <c r="AY83">
        <v>1</v>
      </c>
      <c r="AZ83">
        <v>0</v>
      </c>
      <c r="BA83">
        <v>78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CX83">
        <f>Y83*Source!I208</f>
        <v>0.49680000000000002</v>
      </c>
      <c r="CY83">
        <f t="shared" si="12"/>
        <v>31.19</v>
      </c>
      <c r="CZ83">
        <f t="shared" si="13"/>
        <v>8.1199999999999992</v>
      </c>
      <c r="DA83">
        <f t="shared" si="14"/>
        <v>3.6</v>
      </c>
      <c r="DB83">
        <v>0</v>
      </c>
    </row>
    <row r="84" spans="1:106" x14ac:dyDescent="0.2">
      <c r="A84">
        <f>ROW(Source!A208)</f>
        <v>208</v>
      </c>
      <c r="B84">
        <v>90163004</v>
      </c>
      <c r="C84">
        <v>90173056</v>
      </c>
      <c r="D84">
        <v>7231208</v>
      </c>
      <c r="E84">
        <v>1</v>
      </c>
      <c r="F84">
        <v>1</v>
      </c>
      <c r="G84">
        <v>7157832</v>
      </c>
      <c r="H84">
        <v>2</v>
      </c>
      <c r="I84" t="s">
        <v>352</v>
      </c>
      <c r="J84" t="s">
        <v>353</v>
      </c>
      <c r="K84" t="s">
        <v>354</v>
      </c>
      <c r="L84">
        <v>1368</v>
      </c>
      <c r="N84">
        <v>1011</v>
      </c>
      <c r="O84" t="s">
        <v>286</v>
      </c>
      <c r="P84" t="s">
        <v>286</v>
      </c>
      <c r="Q84">
        <v>1</v>
      </c>
      <c r="W84">
        <v>0</v>
      </c>
      <c r="X84">
        <v>-1300038265</v>
      </c>
      <c r="Y84">
        <v>115.91999999999999</v>
      </c>
      <c r="AA84">
        <v>0</v>
      </c>
      <c r="AB84">
        <v>324.45999999999998</v>
      </c>
      <c r="AC84">
        <v>49</v>
      </c>
      <c r="AD84">
        <v>0</v>
      </c>
      <c r="AE84">
        <v>0</v>
      </c>
      <c r="AF84">
        <v>36.770000000000003</v>
      </c>
      <c r="AG84">
        <v>2.63</v>
      </c>
      <c r="AH84">
        <v>0</v>
      </c>
      <c r="AI84">
        <v>1</v>
      </c>
      <c r="AJ84">
        <v>8.27</v>
      </c>
      <c r="AK84">
        <v>17.46</v>
      </c>
      <c r="AL84">
        <v>1</v>
      </c>
      <c r="AN84">
        <v>0</v>
      </c>
      <c r="AO84">
        <v>1</v>
      </c>
      <c r="AP84">
        <v>1</v>
      </c>
      <c r="AQ84">
        <v>0</v>
      </c>
      <c r="AR84">
        <v>0</v>
      </c>
      <c r="AS84" t="s">
        <v>3</v>
      </c>
      <c r="AT84">
        <v>168</v>
      </c>
      <c r="AU84" t="s">
        <v>249</v>
      </c>
      <c r="AV84">
        <v>0</v>
      </c>
      <c r="AW84">
        <v>2</v>
      </c>
      <c r="AX84">
        <v>90173060</v>
      </c>
      <c r="AY84">
        <v>1</v>
      </c>
      <c r="AZ84">
        <v>0</v>
      </c>
      <c r="BA84">
        <v>79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CX84">
        <f>Y84*Source!I208</f>
        <v>2.7820799999999997</v>
      </c>
      <c r="CY84">
        <f t="shared" si="12"/>
        <v>324.45999999999998</v>
      </c>
      <c r="CZ84">
        <f t="shared" si="13"/>
        <v>36.770000000000003</v>
      </c>
      <c r="DA84">
        <f t="shared" si="14"/>
        <v>8.27</v>
      </c>
      <c r="DB84">
        <v>0</v>
      </c>
    </row>
    <row r="85" spans="1:106" x14ac:dyDescent="0.2">
      <c r="A85">
        <f>ROW(Source!A208)</f>
        <v>208</v>
      </c>
      <c r="B85">
        <v>90163004</v>
      </c>
      <c r="C85">
        <v>90173056</v>
      </c>
      <c r="D85">
        <v>7231421</v>
      </c>
      <c r="E85">
        <v>1</v>
      </c>
      <c r="F85">
        <v>1</v>
      </c>
      <c r="G85">
        <v>7157832</v>
      </c>
      <c r="H85">
        <v>2</v>
      </c>
      <c r="I85" t="s">
        <v>293</v>
      </c>
      <c r="J85" t="s">
        <v>294</v>
      </c>
      <c r="K85" t="s">
        <v>295</v>
      </c>
      <c r="L85">
        <v>1368</v>
      </c>
      <c r="N85">
        <v>1011</v>
      </c>
      <c r="O85" t="s">
        <v>286</v>
      </c>
      <c r="P85" t="s">
        <v>286</v>
      </c>
      <c r="Q85">
        <v>1</v>
      </c>
      <c r="W85">
        <v>0</v>
      </c>
      <c r="X85">
        <v>-1289262214</v>
      </c>
      <c r="Y85">
        <v>0.42779999999999996</v>
      </c>
      <c r="AA85">
        <v>0</v>
      </c>
      <c r="AB85">
        <v>717.23</v>
      </c>
      <c r="AC85">
        <v>327.7</v>
      </c>
      <c r="AD85">
        <v>0</v>
      </c>
      <c r="AE85">
        <v>0</v>
      </c>
      <c r="AF85">
        <v>74.44</v>
      </c>
      <c r="AG85">
        <v>17.59</v>
      </c>
      <c r="AH85">
        <v>0</v>
      </c>
      <c r="AI85">
        <v>1</v>
      </c>
      <c r="AJ85">
        <v>9.0299999999999994</v>
      </c>
      <c r="AK85">
        <v>17.46</v>
      </c>
      <c r="AL85">
        <v>1</v>
      </c>
      <c r="AN85">
        <v>0</v>
      </c>
      <c r="AO85">
        <v>1</v>
      </c>
      <c r="AP85">
        <v>1</v>
      </c>
      <c r="AQ85">
        <v>0</v>
      </c>
      <c r="AR85">
        <v>0</v>
      </c>
      <c r="AS85" t="s">
        <v>3</v>
      </c>
      <c r="AT85">
        <v>0.62</v>
      </c>
      <c r="AU85" t="s">
        <v>249</v>
      </c>
      <c r="AV85">
        <v>0</v>
      </c>
      <c r="AW85">
        <v>2</v>
      </c>
      <c r="AX85">
        <v>90173061</v>
      </c>
      <c r="AY85">
        <v>1</v>
      </c>
      <c r="AZ85">
        <v>0</v>
      </c>
      <c r="BA85">
        <v>80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CX85">
        <f>Y85*Source!I208</f>
        <v>1.0267199999999999E-2</v>
      </c>
      <c r="CY85">
        <f t="shared" si="12"/>
        <v>717.23</v>
      </c>
      <c r="CZ85">
        <f t="shared" si="13"/>
        <v>74.44</v>
      </c>
      <c r="DA85">
        <f t="shared" si="14"/>
        <v>9.0299999999999994</v>
      </c>
      <c r="DB85">
        <v>0</v>
      </c>
    </row>
    <row r="86" spans="1:106" x14ac:dyDescent="0.2">
      <c r="A86">
        <f>ROW(Source!A208)</f>
        <v>208</v>
      </c>
      <c r="B86">
        <v>90163004</v>
      </c>
      <c r="C86">
        <v>90173056</v>
      </c>
      <c r="D86">
        <v>7231457</v>
      </c>
      <c r="E86">
        <v>1</v>
      </c>
      <c r="F86">
        <v>1</v>
      </c>
      <c r="G86">
        <v>7157832</v>
      </c>
      <c r="H86">
        <v>2</v>
      </c>
      <c r="I86" t="s">
        <v>358</v>
      </c>
      <c r="J86" t="s">
        <v>359</v>
      </c>
      <c r="K86" t="s">
        <v>360</v>
      </c>
      <c r="L86">
        <v>1368</v>
      </c>
      <c r="N86">
        <v>1011</v>
      </c>
      <c r="O86" t="s">
        <v>286</v>
      </c>
      <c r="P86" t="s">
        <v>286</v>
      </c>
      <c r="Q86">
        <v>1</v>
      </c>
      <c r="W86">
        <v>0</v>
      </c>
      <c r="X86">
        <v>-1137596515</v>
      </c>
      <c r="Y86">
        <v>22.769999999999996</v>
      </c>
      <c r="AA86">
        <v>0</v>
      </c>
      <c r="AB86">
        <v>4.83</v>
      </c>
      <c r="AC86">
        <v>0.75</v>
      </c>
      <c r="AD86">
        <v>0</v>
      </c>
      <c r="AE86">
        <v>0</v>
      </c>
      <c r="AF86">
        <v>0.68</v>
      </c>
      <c r="AG86">
        <v>0.04</v>
      </c>
      <c r="AH86">
        <v>0</v>
      </c>
      <c r="AI86">
        <v>1</v>
      </c>
      <c r="AJ86">
        <v>6.66</v>
      </c>
      <c r="AK86">
        <v>17.46</v>
      </c>
      <c r="AL86">
        <v>1</v>
      </c>
      <c r="AN86">
        <v>0</v>
      </c>
      <c r="AO86">
        <v>1</v>
      </c>
      <c r="AP86">
        <v>1</v>
      </c>
      <c r="AQ86">
        <v>0</v>
      </c>
      <c r="AR86">
        <v>0</v>
      </c>
      <c r="AS86" t="s">
        <v>3</v>
      </c>
      <c r="AT86">
        <v>33</v>
      </c>
      <c r="AU86" t="s">
        <v>249</v>
      </c>
      <c r="AV86">
        <v>0</v>
      </c>
      <c r="AW86">
        <v>2</v>
      </c>
      <c r="AX86">
        <v>90173063</v>
      </c>
      <c r="AY86">
        <v>1</v>
      </c>
      <c r="AZ86">
        <v>0</v>
      </c>
      <c r="BA86">
        <v>81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CX86">
        <f>Y86*Source!I208</f>
        <v>0.54647999999999997</v>
      </c>
      <c r="CY86">
        <f t="shared" si="12"/>
        <v>4.83</v>
      </c>
      <c r="CZ86">
        <f t="shared" si="13"/>
        <v>0.68</v>
      </c>
      <c r="DA86">
        <f t="shared" si="14"/>
        <v>6.66</v>
      </c>
      <c r="DB86">
        <v>0</v>
      </c>
    </row>
    <row r="87" spans="1:106" x14ac:dyDescent="0.2">
      <c r="A87">
        <f>ROW(Source!A208)</f>
        <v>208</v>
      </c>
      <c r="B87">
        <v>90163004</v>
      </c>
      <c r="C87">
        <v>90173056</v>
      </c>
      <c r="D87">
        <v>7230810</v>
      </c>
      <c r="E87">
        <v>1</v>
      </c>
      <c r="F87">
        <v>1</v>
      </c>
      <c r="G87">
        <v>7157832</v>
      </c>
      <c r="H87">
        <v>2</v>
      </c>
      <c r="I87" t="s">
        <v>395</v>
      </c>
      <c r="J87" t="s">
        <v>396</v>
      </c>
      <c r="K87" t="s">
        <v>397</v>
      </c>
      <c r="L87">
        <v>1368</v>
      </c>
      <c r="N87">
        <v>1011</v>
      </c>
      <c r="O87" t="s">
        <v>286</v>
      </c>
      <c r="P87" t="s">
        <v>286</v>
      </c>
      <c r="Q87">
        <v>1</v>
      </c>
      <c r="W87">
        <v>0</v>
      </c>
      <c r="X87">
        <v>1906345529</v>
      </c>
      <c r="Y87">
        <v>34.706999999999994</v>
      </c>
      <c r="AA87">
        <v>0</v>
      </c>
      <c r="AB87">
        <v>766.48</v>
      </c>
      <c r="AC87">
        <v>480.28</v>
      </c>
      <c r="AD87">
        <v>0</v>
      </c>
      <c r="AE87">
        <v>0</v>
      </c>
      <c r="AF87">
        <v>101.75</v>
      </c>
      <c r="AG87">
        <v>25.78</v>
      </c>
      <c r="AH87">
        <v>0</v>
      </c>
      <c r="AI87">
        <v>1</v>
      </c>
      <c r="AJ87">
        <v>7.06</v>
      </c>
      <c r="AK87">
        <v>17.46</v>
      </c>
      <c r="AL87">
        <v>1</v>
      </c>
      <c r="AN87">
        <v>0</v>
      </c>
      <c r="AO87">
        <v>1</v>
      </c>
      <c r="AP87">
        <v>1</v>
      </c>
      <c r="AQ87">
        <v>0</v>
      </c>
      <c r="AR87">
        <v>0</v>
      </c>
      <c r="AS87" t="s">
        <v>3</v>
      </c>
      <c r="AT87">
        <v>50.3</v>
      </c>
      <c r="AU87" t="s">
        <v>249</v>
      </c>
      <c r="AV87">
        <v>0</v>
      </c>
      <c r="AW87">
        <v>2</v>
      </c>
      <c r="AX87">
        <v>90173062</v>
      </c>
      <c r="AY87">
        <v>1</v>
      </c>
      <c r="AZ87">
        <v>0</v>
      </c>
      <c r="BA87">
        <v>82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CX87">
        <f>Y87*Source!I208</f>
        <v>0.83296799999999982</v>
      </c>
      <c r="CY87">
        <f t="shared" si="12"/>
        <v>766.48</v>
      </c>
      <c r="CZ87">
        <f t="shared" si="13"/>
        <v>101.75</v>
      </c>
      <c r="DA87">
        <f t="shared" si="14"/>
        <v>7.06</v>
      </c>
      <c r="DB87">
        <v>0</v>
      </c>
    </row>
    <row r="88" spans="1:106" x14ac:dyDescent="0.2">
      <c r="A88">
        <f>ROW(Source!A208)</f>
        <v>208</v>
      </c>
      <c r="B88">
        <v>90163004</v>
      </c>
      <c r="C88">
        <v>90173056</v>
      </c>
      <c r="D88">
        <v>7231827</v>
      </c>
      <c r="E88">
        <v>1</v>
      </c>
      <c r="F88">
        <v>1</v>
      </c>
      <c r="G88">
        <v>7157832</v>
      </c>
      <c r="H88">
        <v>3</v>
      </c>
      <c r="I88" t="s">
        <v>364</v>
      </c>
      <c r="J88" t="s">
        <v>365</v>
      </c>
      <c r="K88" t="s">
        <v>366</v>
      </c>
      <c r="L88">
        <v>1339</v>
      </c>
      <c r="N88">
        <v>1007</v>
      </c>
      <c r="O88" t="s">
        <v>30</v>
      </c>
      <c r="P88" t="s">
        <v>30</v>
      </c>
      <c r="Q88">
        <v>1</v>
      </c>
      <c r="W88">
        <v>0</v>
      </c>
      <c r="X88">
        <v>55300385</v>
      </c>
      <c r="Y88">
        <v>0</v>
      </c>
      <c r="AA88">
        <v>28.72</v>
      </c>
      <c r="AB88">
        <v>0</v>
      </c>
      <c r="AC88">
        <v>0</v>
      </c>
      <c r="AD88">
        <v>0</v>
      </c>
      <c r="AE88">
        <v>7.07</v>
      </c>
      <c r="AF88">
        <v>0</v>
      </c>
      <c r="AG88">
        <v>0</v>
      </c>
      <c r="AH88">
        <v>0</v>
      </c>
      <c r="AI88">
        <v>4.05</v>
      </c>
      <c r="AJ88">
        <v>1</v>
      </c>
      <c r="AK88">
        <v>1</v>
      </c>
      <c r="AL88">
        <v>1</v>
      </c>
      <c r="AN88">
        <v>0</v>
      </c>
      <c r="AO88">
        <v>1</v>
      </c>
      <c r="AP88">
        <v>1</v>
      </c>
      <c r="AQ88">
        <v>0</v>
      </c>
      <c r="AR88">
        <v>0</v>
      </c>
      <c r="AS88" t="s">
        <v>3</v>
      </c>
      <c r="AT88">
        <v>168</v>
      </c>
      <c r="AU88" t="s">
        <v>164</v>
      </c>
      <c r="AV88">
        <v>0</v>
      </c>
      <c r="AW88">
        <v>2</v>
      </c>
      <c r="AX88">
        <v>90173064</v>
      </c>
      <c r="AY88">
        <v>1</v>
      </c>
      <c r="AZ88">
        <v>0</v>
      </c>
      <c r="BA88">
        <v>83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  <c r="BS88">
        <v>0</v>
      </c>
      <c r="BT88">
        <v>0</v>
      </c>
      <c r="BU88">
        <v>0</v>
      </c>
      <c r="BV88">
        <v>0</v>
      </c>
      <c r="BW88">
        <v>0</v>
      </c>
      <c r="CX88">
        <f>Y88*Source!I208</f>
        <v>0</v>
      </c>
      <c r="CY88">
        <f t="shared" ref="CY88:CY99" si="15">AA88</f>
        <v>28.72</v>
      </c>
      <c r="CZ88">
        <f t="shared" ref="CZ88:CZ99" si="16">AE88</f>
        <v>7.07</v>
      </c>
      <c r="DA88">
        <f t="shared" ref="DA88:DA99" si="17">AI88</f>
        <v>4.05</v>
      </c>
      <c r="DB88">
        <v>0</v>
      </c>
    </row>
    <row r="89" spans="1:106" x14ac:dyDescent="0.2">
      <c r="A89">
        <f>ROW(Source!A208)</f>
        <v>208</v>
      </c>
      <c r="B89">
        <v>90163004</v>
      </c>
      <c r="C89">
        <v>90173056</v>
      </c>
      <c r="D89">
        <v>7233230</v>
      </c>
      <c r="E89">
        <v>1</v>
      </c>
      <c r="F89">
        <v>1</v>
      </c>
      <c r="G89">
        <v>7157832</v>
      </c>
      <c r="H89">
        <v>3</v>
      </c>
      <c r="I89" t="s">
        <v>328</v>
      </c>
      <c r="J89" t="s">
        <v>329</v>
      </c>
      <c r="K89" t="s">
        <v>330</v>
      </c>
      <c r="L89">
        <v>1348</v>
      </c>
      <c r="N89">
        <v>1009</v>
      </c>
      <c r="O89" t="s">
        <v>39</v>
      </c>
      <c r="P89" t="s">
        <v>39</v>
      </c>
      <c r="Q89">
        <v>1000</v>
      </c>
      <c r="W89">
        <v>0</v>
      </c>
      <c r="X89">
        <v>-918604120</v>
      </c>
      <c r="Y89">
        <v>0</v>
      </c>
      <c r="AA89">
        <v>79996.44</v>
      </c>
      <c r="AB89">
        <v>0</v>
      </c>
      <c r="AC89">
        <v>0</v>
      </c>
      <c r="AD89">
        <v>0</v>
      </c>
      <c r="AE89">
        <v>7191.81</v>
      </c>
      <c r="AF89">
        <v>0</v>
      </c>
      <c r="AG89">
        <v>0</v>
      </c>
      <c r="AH89">
        <v>0</v>
      </c>
      <c r="AI89">
        <v>11.09</v>
      </c>
      <c r="AJ89">
        <v>1</v>
      </c>
      <c r="AK89">
        <v>1</v>
      </c>
      <c r="AL89">
        <v>1</v>
      </c>
      <c r="AN89">
        <v>0</v>
      </c>
      <c r="AO89">
        <v>1</v>
      </c>
      <c r="AP89">
        <v>1</v>
      </c>
      <c r="AQ89">
        <v>0</v>
      </c>
      <c r="AR89">
        <v>0</v>
      </c>
      <c r="AS89" t="s">
        <v>3</v>
      </c>
      <c r="AT89">
        <v>0.112</v>
      </c>
      <c r="AU89" t="s">
        <v>164</v>
      </c>
      <c r="AV89">
        <v>0</v>
      </c>
      <c r="AW89">
        <v>2</v>
      </c>
      <c r="AX89">
        <v>90173065</v>
      </c>
      <c r="AY89">
        <v>1</v>
      </c>
      <c r="AZ89">
        <v>0</v>
      </c>
      <c r="BA89">
        <v>84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0</v>
      </c>
      <c r="BV89">
        <v>0</v>
      </c>
      <c r="BW89">
        <v>0</v>
      </c>
      <c r="CX89">
        <f>Y89*Source!I208</f>
        <v>0</v>
      </c>
      <c r="CY89">
        <f t="shared" si="15"/>
        <v>79996.44</v>
      </c>
      <c r="CZ89">
        <f t="shared" si="16"/>
        <v>7191.81</v>
      </c>
      <c r="DA89">
        <f t="shared" si="17"/>
        <v>11.09</v>
      </c>
      <c r="DB89">
        <v>0</v>
      </c>
    </row>
    <row r="90" spans="1:106" x14ac:dyDescent="0.2">
      <c r="A90">
        <f>ROW(Source!A208)</f>
        <v>208</v>
      </c>
      <c r="B90">
        <v>90163004</v>
      </c>
      <c r="C90">
        <v>90173056</v>
      </c>
      <c r="D90">
        <v>7233263</v>
      </c>
      <c r="E90">
        <v>1</v>
      </c>
      <c r="F90">
        <v>1</v>
      </c>
      <c r="G90">
        <v>7157832</v>
      </c>
      <c r="H90">
        <v>3</v>
      </c>
      <c r="I90" t="s">
        <v>367</v>
      </c>
      <c r="J90" t="s">
        <v>368</v>
      </c>
      <c r="K90" t="s">
        <v>369</v>
      </c>
      <c r="L90">
        <v>1354</v>
      </c>
      <c r="N90">
        <v>16987630</v>
      </c>
      <c r="O90" t="s">
        <v>342</v>
      </c>
      <c r="P90" t="s">
        <v>342</v>
      </c>
      <c r="Q90">
        <v>1</v>
      </c>
      <c r="W90">
        <v>0</v>
      </c>
      <c r="X90">
        <v>14831092</v>
      </c>
      <c r="Y90">
        <v>0</v>
      </c>
      <c r="AA90">
        <v>40.58</v>
      </c>
      <c r="AB90">
        <v>0</v>
      </c>
      <c r="AC90">
        <v>0</v>
      </c>
      <c r="AD90">
        <v>0</v>
      </c>
      <c r="AE90">
        <v>13.76</v>
      </c>
      <c r="AF90">
        <v>0</v>
      </c>
      <c r="AG90">
        <v>0</v>
      </c>
      <c r="AH90">
        <v>0</v>
      </c>
      <c r="AI90">
        <v>2.94</v>
      </c>
      <c r="AJ90">
        <v>1</v>
      </c>
      <c r="AK90">
        <v>1</v>
      </c>
      <c r="AL90">
        <v>1</v>
      </c>
      <c r="AN90">
        <v>0</v>
      </c>
      <c r="AO90">
        <v>1</v>
      </c>
      <c r="AP90">
        <v>1</v>
      </c>
      <c r="AQ90">
        <v>0</v>
      </c>
      <c r="AR90">
        <v>0</v>
      </c>
      <c r="AS90" t="s">
        <v>3</v>
      </c>
      <c r="AT90">
        <v>3.3</v>
      </c>
      <c r="AU90" t="s">
        <v>164</v>
      </c>
      <c r="AV90">
        <v>0</v>
      </c>
      <c r="AW90">
        <v>2</v>
      </c>
      <c r="AX90">
        <v>90173066</v>
      </c>
      <c r="AY90">
        <v>1</v>
      </c>
      <c r="AZ90">
        <v>0</v>
      </c>
      <c r="BA90">
        <v>85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  <c r="BS90">
        <v>0</v>
      </c>
      <c r="BT90">
        <v>0</v>
      </c>
      <c r="BU90">
        <v>0</v>
      </c>
      <c r="BV90">
        <v>0</v>
      </c>
      <c r="BW90">
        <v>0</v>
      </c>
      <c r="CX90">
        <f>Y90*Source!I208</f>
        <v>0</v>
      </c>
      <c r="CY90">
        <f t="shared" si="15"/>
        <v>40.58</v>
      </c>
      <c r="CZ90">
        <f t="shared" si="16"/>
        <v>13.76</v>
      </c>
      <c r="DA90">
        <f t="shared" si="17"/>
        <v>2.94</v>
      </c>
      <c r="DB90">
        <v>0</v>
      </c>
    </row>
    <row r="91" spans="1:106" x14ac:dyDescent="0.2">
      <c r="A91">
        <f>ROW(Source!A208)</f>
        <v>208</v>
      </c>
      <c r="B91">
        <v>90163004</v>
      </c>
      <c r="C91">
        <v>90173056</v>
      </c>
      <c r="D91">
        <v>7231970</v>
      </c>
      <c r="E91">
        <v>1</v>
      </c>
      <c r="F91">
        <v>1</v>
      </c>
      <c r="G91">
        <v>7157832</v>
      </c>
      <c r="H91">
        <v>3</v>
      </c>
      <c r="I91" t="s">
        <v>370</v>
      </c>
      <c r="J91" t="s">
        <v>371</v>
      </c>
      <c r="K91" t="s">
        <v>372</v>
      </c>
      <c r="L91">
        <v>1348</v>
      </c>
      <c r="N91">
        <v>1009</v>
      </c>
      <c r="O91" t="s">
        <v>39</v>
      </c>
      <c r="P91" t="s">
        <v>39</v>
      </c>
      <c r="Q91">
        <v>1000</v>
      </c>
      <c r="W91">
        <v>0</v>
      </c>
      <c r="X91">
        <v>1411643647</v>
      </c>
      <c r="Y91">
        <v>0</v>
      </c>
      <c r="AA91">
        <v>63884.47</v>
      </c>
      <c r="AB91">
        <v>0</v>
      </c>
      <c r="AC91">
        <v>0</v>
      </c>
      <c r="AD91">
        <v>0</v>
      </c>
      <c r="AE91">
        <v>3246.35</v>
      </c>
      <c r="AF91">
        <v>0</v>
      </c>
      <c r="AG91">
        <v>0</v>
      </c>
      <c r="AH91">
        <v>0</v>
      </c>
      <c r="AI91">
        <v>19.62</v>
      </c>
      <c r="AJ91">
        <v>1</v>
      </c>
      <c r="AK91">
        <v>1</v>
      </c>
      <c r="AL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 t="s">
        <v>3</v>
      </c>
      <c r="AT91">
        <v>1.01E-2</v>
      </c>
      <c r="AU91" t="s">
        <v>164</v>
      </c>
      <c r="AV91">
        <v>0</v>
      </c>
      <c r="AW91">
        <v>2</v>
      </c>
      <c r="AX91">
        <v>90173067</v>
      </c>
      <c r="AY91">
        <v>1</v>
      </c>
      <c r="AZ91">
        <v>0</v>
      </c>
      <c r="BA91">
        <v>86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  <c r="BS91">
        <v>0</v>
      </c>
      <c r="BT91">
        <v>0</v>
      </c>
      <c r="BU91">
        <v>0</v>
      </c>
      <c r="BV91">
        <v>0</v>
      </c>
      <c r="BW91">
        <v>0</v>
      </c>
      <c r="CX91">
        <f>Y91*Source!I208</f>
        <v>0</v>
      </c>
      <c r="CY91">
        <f t="shared" si="15"/>
        <v>63884.47</v>
      </c>
      <c r="CZ91">
        <f t="shared" si="16"/>
        <v>3246.35</v>
      </c>
      <c r="DA91">
        <f t="shared" si="17"/>
        <v>19.62</v>
      </c>
      <c r="DB91">
        <v>0</v>
      </c>
    </row>
    <row r="92" spans="1:106" x14ac:dyDescent="0.2">
      <c r="A92">
        <f>ROW(Source!A208)</f>
        <v>208</v>
      </c>
      <c r="B92">
        <v>90163004</v>
      </c>
      <c r="C92">
        <v>90173056</v>
      </c>
      <c r="D92">
        <v>7243313</v>
      </c>
      <c r="E92">
        <v>1</v>
      </c>
      <c r="F92">
        <v>1</v>
      </c>
      <c r="G92">
        <v>7157832</v>
      </c>
      <c r="H92">
        <v>3</v>
      </c>
      <c r="I92" t="s">
        <v>398</v>
      </c>
      <c r="J92" t="s">
        <v>399</v>
      </c>
      <c r="K92" t="s">
        <v>400</v>
      </c>
      <c r="L92">
        <v>1035</v>
      </c>
      <c r="N92">
        <v>1013</v>
      </c>
      <c r="O92" t="s">
        <v>58</v>
      </c>
      <c r="P92" t="s">
        <v>58</v>
      </c>
      <c r="Q92">
        <v>1</v>
      </c>
      <c r="W92">
        <v>0</v>
      </c>
      <c r="X92">
        <v>-458364774</v>
      </c>
      <c r="Y92">
        <v>0</v>
      </c>
      <c r="AA92">
        <v>379.62</v>
      </c>
      <c r="AB92">
        <v>0</v>
      </c>
      <c r="AC92">
        <v>0</v>
      </c>
      <c r="AD92">
        <v>0</v>
      </c>
      <c r="AE92">
        <v>66.87</v>
      </c>
      <c r="AF92">
        <v>0</v>
      </c>
      <c r="AG92">
        <v>0</v>
      </c>
      <c r="AH92">
        <v>0</v>
      </c>
      <c r="AI92">
        <v>5.66</v>
      </c>
      <c r="AJ92">
        <v>1</v>
      </c>
      <c r="AK92">
        <v>1</v>
      </c>
      <c r="AL92">
        <v>1</v>
      </c>
      <c r="AN92">
        <v>0</v>
      </c>
      <c r="AO92">
        <v>1</v>
      </c>
      <c r="AP92">
        <v>1</v>
      </c>
      <c r="AQ92">
        <v>0</v>
      </c>
      <c r="AR92">
        <v>0</v>
      </c>
      <c r="AS92" t="s">
        <v>3</v>
      </c>
      <c r="AT92">
        <v>5</v>
      </c>
      <c r="AU92" t="s">
        <v>164</v>
      </c>
      <c r="AV92">
        <v>0</v>
      </c>
      <c r="AW92">
        <v>2</v>
      </c>
      <c r="AX92">
        <v>90173068</v>
      </c>
      <c r="AY92">
        <v>1</v>
      </c>
      <c r="AZ92">
        <v>0</v>
      </c>
      <c r="BA92">
        <v>87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  <c r="BS92">
        <v>0</v>
      </c>
      <c r="BT92">
        <v>0</v>
      </c>
      <c r="BU92">
        <v>0</v>
      </c>
      <c r="BV92">
        <v>0</v>
      </c>
      <c r="BW92">
        <v>0</v>
      </c>
      <c r="CX92">
        <f>Y92*Source!I208</f>
        <v>0</v>
      </c>
      <c r="CY92">
        <f t="shared" si="15"/>
        <v>379.62</v>
      </c>
      <c r="CZ92">
        <f t="shared" si="16"/>
        <v>66.87</v>
      </c>
      <c r="DA92">
        <f t="shared" si="17"/>
        <v>5.66</v>
      </c>
      <c r="DB92">
        <v>0</v>
      </c>
    </row>
    <row r="93" spans="1:106" x14ac:dyDescent="0.2">
      <c r="A93">
        <f>ROW(Source!A208)</f>
        <v>208</v>
      </c>
      <c r="B93">
        <v>90163004</v>
      </c>
      <c r="C93">
        <v>90173056</v>
      </c>
      <c r="D93">
        <v>7243317</v>
      </c>
      <c r="E93">
        <v>1</v>
      </c>
      <c r="F93">
        <v>1</v>
      </c>
      <c r="G93">
        <v>7157832</v>
      </c>
      <c r="H93">
        <v>3</v>
      </c>
      <c r="I93" t="s">
        <v>401</v>
      </c>
      <c r="J93" t="s">
        <v>402</v>
      </c>
      <c r="K93" t="s">
        <v>403</v>
      </c>
      <c r="L93">
        <v>1035</v>
      </c>
      <c r="N93">
        <v>1013</v>
      </c>
      <c r="O93" t="s">
        <v>58</v>
      </c>
      <c r="P93" t="s">
        <v>58</v>
      </c>
      <c r="Q93">
        <v>1</v>
      </c>
      <c r="W93">
        <v>0</v>
      </c>
      <c r="X93">
        <v>1927680</v>
      </c>
      <c r="Y93">
        <v>0</v>
      </c>
      <c r="AA93">
        <v>1324.41</v>
      </c>
      <c r="AB93">
        <v>0</v>
      </c>
      <c r="AC93">
        <v>0</v>
      </c>
      <c r="AD93">
        <v>0</v>
      </c>
      <c r="AE93">
        <v>154.80000000000001</v>
      </c>
      <c r="AF93">
        <v>0</v>
      </c>
      <c r="AG93">
        <v>0</v>
      </c>
      <c r="AH93">
        <v>0</v>
      </c>
      <c r="AI93">
        <v>8.5299999999999994</v>
      </c>
      <c r="AJ93">
        <v>1</v>
      </c>
      <c r="AK93">
        <v>1</v>
      </c>
      <c r="AL93">
        <v>1</v>
      </c>
      <c r="AN93">
        <v>0</v>
      </c>
      <c r="AO93">
        <v>1</v>
      </c>
      <c r="AP93">
        <v>1</v>
      </c>
      <c r="AQ93">
        <v>0</v>
      </c>
      <c r="AR93">
        <v>0</v>
      </c>
      <c r="AS93" t="s">
        <v>3</v>
      </c>
      <c r="AT93">
        <v>5</v>
      </c>
      <c r="AU93" t="s">
        <v>164</v>
      </c>
      <c r="AV93">
        <v>0</v>
      </c>
      <c r="AW93">
        <v>2</v>
      </c>
      <c r="AX93">
        <v>90173069</v>
      </c>
      <c r="AY93">
        <v>1</v>
      </c>
      <c r="AZ93">
        <v>0</v>
      </c>
      <c r="BA93">
        <v>88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  <c r="BS93">
        <v>0</v>
      </c>
      <c r="BT93">
        <v>0</v>
      </c>
      <c r="BU93">
        <v>0</v>
      </c>
      <c r="BV93">
        <v>0</v>
      </c>
      <c r="BW93">
        <v>0</v>
      </c>
      <c r="CX93">
        <f>Y93*Source!I208</f>
        <v>0</v>
      </c>
      <c r="CY93">
        <f t="shared" si="15"/>
        <v>1324.41</v>
      </c>
      <c r="CZ93">
        <f t="shared" si="16"/>
        <v>154.80000000000001</v>
      </c>
      <c r="DA93">
        <f t="shared" si="17"/>
        <v>8.5299999999999994</v>
      </c>
      <c r="DB93">
        <v>0</v>
      </c>
    </row>
    <row r="94" spans="1:106" x14ac:dyDescent="0.2">
      <c r="A94">
        <f>ROW(Source!A208)</f>
        <v>208</v>
      </c>
      <c r="B94">
        <v>90163004</v>
      </c>
      <c r="C94">
        <v>90173056</v>
      </c>
      <c r="D94">
        <v>7243921</v>
      </c>
      <c r="E94">
        <v>1</v>
      </c>
      <c r="F94">
        <v>1</v>
      </c>
      <c r="G94">
        <v>7157832</v>
      </c>
      <c r="H94">
        <v>3</v>
      </c>
      <c r="I94" t="s">
        <v>404</v>
      </c>
      <c r="J94" t="s">
        <v>405</v>
      </c>
      <c r="K94" t="s">
        <v>406</v>
      </c>
      <c r="L94">
        <v>1354</v>
      </c>
      <c r="N94">
        <v>16987630</v>
      </c>
      <c r="O94" t="s">
        <v>342</v>
      </c>
      <c r="P94" t="s">
        <v>342</v>
      </c>
      <c r="Q94">
        <v>1</v>
      </c>
      <c r="W94">
        <v>0</v>
      </c>
      <c r="X94">
        <v>628477382</v>
      </c>
      <c r="Y94">
        <v>0</v>
      </c>
      <c r="AA94">
        <v>8648.2099999999991</v>
      </c>
      <c r="AB94">
        <v>0</v>
      </c>
      <c r="AC94">
        <v>0</v>
      </c>
      <c r="AD94">
        <v>0</v>
      </c>
      <c r="AE94">
        <v>1069.77</v>
      </c>
      <c r="AF94">
        <v>0</v>
      </c>
      <c r="AG94">
        <v>0</v>
      </c>
      <c r="AH94">
        <v>0</v>
      </c>
      <c r="AI94">
        <v>8.06</v>
      </c>
      <c r="AJ94">
        <v>1</v>
      </c>
      <c r="AK94">
        <v>1</v>
      </c>
      <c r="AL94">
        <v>1</v>
      </c>
      <c r="AN94">
        <v>0</v>
      </c>
      <c r="AO94">
        <v>1</v>
      </c>
      <c r="AP94">
        <v>1</v>
      </c>
      <c r="AQ94">
        <v>0</v>
      </c>
      <c r="AR94">
        <v>0</v>
      </c>
      <c r="AS94" t="s">
        <v>3</v>
      </c>
      <c r="AT94">
        <v>5</v>
      </c>
      <c r="AU94" t="s">
        <v>164</v>
      </c>
      <c r="AV94">
        <v>0</v>
      </c>
      <c r="AW94">
        <v>2</v>
      </c>
      <c r="AX94">
        <v>90173070</v>
      </c>
      <c r="AY94">
        <v>1</v>
      </c>
      <c r="AZ94">
        <v>0</v>
      </c>
      <c r="BA94">
        <v>89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0</v>
      </c>
      <c r="BW94">
        <v>0</v>
      </c>
      <c r="CX94">
        <f>Y94*Source!I208</f>
        <v>0</v>
      </c>
      <c r="CY94">
        <f t="shared" si="15"/>
        <v>8648.2099999999991</v>
      </c>
      <c r="CZ94">
        <f t="shared" si="16"/>
        <v>1069.77</v>
      </c>
      <c r="DA94">
        <f t="shared" si="17"/>
        <v>8.06</v>
      </c>
      <c r="DB94">
        <v>0</v>
      </c>
    </row>
    <row r="95" spans="1:106" x14ac:dyDescent="0.2">
      <c r="A95">
        <f>ROW(Source!A208)</f>
        <v>208</v>
      </c>
      <c r="B95">
        <v>90163004</v>
      </c>
      <c r="C95">
        <v>90173056</v>
      </c>
      <c r="D95">
        <v>7243925</v>
      </c>
      <c r="E95">
        <v>1</v>
      </c>
      <c r="F95">
        <v>1</v>
      </c>
      <c r="G95">
        <v>7157832</v>
      </c>
      <c r="H95">
        <v>3</v>
      </c>
      <c r="I95" t="s">
        <v>407</v>
      </c>
      <c r="J95" t="s">
        <v>408</v>
      </c>
      <c r="K95" t="s">
        <v>409</v>
      </c>
      <c r="L95">
        <v>1354</v>
      </c>
      <c r="N95">
        <v>16987630</v>
      </c>
      <c r="O95" t="s">
        <v>342</v>
      </c>
      <c r="P95" t="s">
        <v>342</v>
      </c>
      <c r="Q95">
        <v>1</v>
      </c>
      <c r="W95">
        <v>0</v>
      </c>
      <c r="X95">
        <v>-1661597830</v>
      </c>
      <c r="Y95">
        <v>0</v>
      </c>
      <c r="AA95">
        <v>4014.75</v>
      </c>
      <c r="AB95">
        <v>0</v>
      </c>
      <c r="AC95">
        <v>0</v>
      </c>
      <c r="AD95">
        <v>0</v>
      </c>
      <c r="AE95">
        <v>612.04</v>
      </c>
      <c r="AF95">
        <v>0</v>
      </c>
      <c r="AG95">
        <v>0</v>
      </c>
      <c r="AH95">
        <v>0</v>
      </c>
      <c r="AI95">
        <v>6.54</v>
      </c>
      <c r="AJ95">
        <v>1</v>
      </c>
      <c r="AK95">
        <v>1</v>
      </c>
      <c r="AL95">
        <v>1</v>
      </c>
      <c r="AN95">
        <v>0</v>
      </c>
      <c r="AO95">
        <v>1</v>
      </c>
      <c r="AP95">
        <v>1</v>
      </c>
      <c r="AQ95">
        <v>0</v>
      </c>
      <c r="AR95">
        <v>0</v>
      </c>
      <c r="AS95" t="s">
        <v>3</v>
      </c>
      <c r="AT95">
        <v>5</v>
      </c>
      <c r="AU95" t="s">
        <v>164</v>
      </c>
      <c r="AV95">
        <v>0</v>
      </c>
      <c r="AW95">
        <v>2</v>
      </c>
      <c r="AX95">
        <v>90173071</v>
      </c>
      <c r="AY95">
        <v>1</v>
      </c>
      <c r="AZ95">
        <v>0</v>
      </c>
      <c r="BA95">
        <v>90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CX95">
        <f>Y95*Source!I208</f>
        <v>0</v>
      </c>
      <c r="CY95">
        <f t="shared" si="15"/>
        <v>4014.75</v>
      </c>
      <c r="CZ95">
        <f t="shared" si="16"/>
        <v>612.04</v>
      </c>
      <c r="DA95">
        <f t="shared" si="17"/>
        <v>6.54</v>
      </c>
      <c r="DB95">
        <v>0</v>
      </c>
    </row>
    <row r="96" spans="1:106" x14ac:dyDescent="0.2">
      <c r="A96">
        <f>ROW(Source!A208)</f>
        <v>208</v>
      </c>
      <c r="B96">
        <v>90163004</v>
      </c>
      <c r="C96">
        <v>90173056</v>
      </c>
      <c r="D96">
        <v>7160056</v>
      </c>
      <c r="E96">
        <v>7157832</v>
      </c>
      <c r="F96">
        <v>1</v>
      </c>
      <c r="G96">
        <v>7157832</v>
      </c>
      <c r="H96">
        <v>3</v>
      </c>
      <c r="I96" t="s">
        <v>382</v>
      </c>
      <c r="J96" t="s">
        <v>3</v>
      </c>
      <c r="K96" t="s">
        <v>383</v>
      </c>
      <c r="L96">
        <v>1301</v>
      </c>
      <c r="N96">
        <v>1003</v>
      </c>
      <c r="O96" t="s">
        <v>18</v>
      </c>
      <c r="P96" t="s">
        <v>18</v>
      </c>
      <c r="Q96">
        <v>1</v>
      </c>
      <c r="W96">
        <v>0</v>
      </c>
      <c r="X96">
        <v>-1393579317</v>
      </c>
      <c r="Y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1</v>
      </c>
      <c r="AJ96">
        <v>1</v>
      </c>
      <c r="AK96">
        <v>1</v>
      </c>
      <c r="AL96">
        <v>1</v>
      </c>
      <c r="AN96">
        <v>0</v>
      </c>
      <c r="AO96">
        <v>0</v>
      </c>
      <c r="AP96">
        <v>1</v>
      </c>
      <c r="AQ96">
        <v>0</v>
      </c>
      <c r="AR96">
        <v>0</v>
      </c>
      <c r="AS96" t="s">
        <v>3</v>
      </c>
      <c r="AT96">
        <v>1000</v>
      </c>
      <c r="AU96" t="s">
        <v>164</v>
      </c>
      <c r="AV96">
        <v>0</v>
      </c>
      <c r="AW96">
        <v>2</v>
      </c>
      <c r="AX96">
        <v>90173072</v>
      </c>
      <c r="AY96">
        <v>1</v>
      </c>
      <c r="AZ96">
        <v>0</v>
      </c>
      <c r="BA96">
        <v>91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CX96">
        <f>Y96*Source!I208</f>
        <v>0</v>
      </c>
      <c r="CY96">
        <f t="shared" si="15"/>
        <v>0</v>
      </c>
      <c r="CZ96">
        <f t="shared" si="16"/>
        <v>0</v>
      </c>
      <c r="DA96">
        <f t="shared" si="17"/>
        <v>1</v>
      </c>
      <c r="DB96">
        <v>0</v>
      </c>
    </row>
    <row r="97" spans="1:106" x14ac:dyDescent="0.2">
      <c r="A97">
        <f>ROW(Source!A208)</f>
        <v>208</v>
      </c>
      <c r="B97">
        <v>90163004</v>
      </c>
      <c r="C97">
        <v>90173056</v>
      </c>
      <c r="D97">
        <v>7161464</v>
      </c>
      <c r="E97">
        <v>7157832</v>
      </c>
      <c r="F97">
        <v>1</v>
      </c>
      <c r="G97">
        <v>7157832</v>
      </c>
      <c r="H97">
        <v>3</v>
      </c>
      <c r="I97" t="s">
        <v>384</v>
      </c>
      <c r="J97" t="s">
        <v>3</v>
      </c>
      <c r="K97" t="s">
        <v>385</v>
      </c>
      <c r="L97">
        <v>1348</v>
      </c>
      <c r="N97">
        <v>1009</v>
      </c>
      <c r="O97" t="s">
        <v>39</v>
      </c>
      <c r="P97" t="s">
        <v>39</v>
      </c>
      <c r="Q97">
        <v>1000</v>
      </c>
      <c r="W97">
        <v>0</v>
      </c>
      <c r="X97">
        <v>-249401713</v>
      </c>
      <c r="Y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1</v>
      </c>
      <c r="AJ97">
        <v>1</v>
      </c>
      <c r="AK97">
        <v>1</v>
      </c>
      <c r="AL97">
        <v>1</v>
      </c>
      <c r="AN97">
        <v>0</v>
      </c>
      <c r="AO97">
        <v>0</v>
      </c>
      <c r="AP97">
        <v>1</v>
      </c>
      <c r="AQ97">
        <v>0</v>
      </c>
      <c r="AR97">
        <v>0</v>
      </c>
      <c r="AS97" t="s">
        <v>3</v>
      </c>
      <c r="AT97">
        <v>0</v>
      </c>
      <c r="AU97" t="s">
        <v>164</v>
      </c>
      <c r="AV97">
        <v>0</v>
      </c>
      <c r="AW97">
        <v>2</v>
      </c>
      <c r="AX97">
        <v>90173073</v>
      </c>
      <c r="AY97">
        <v>1</v>
      </c>
      <c r="AZ97">
        <v>0</v>
      </c>
      <c r="BA97">
        <v>92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CX97">
        <f>Y97*Source!I208</f>
        <v>0</v>
      </c>
      <c r="CY97">
        <f t="shared" si="15"/>
        <v>0</v>
      </c>
      <c r="CZ97">
        <f t="shared" si="16"/>
        <v>0</v>
      </c>
      <c r="DA97">
        <f t="shared" si="17"/>
        <v>1</v>
      </c>
      <c r="DB97">
        <v>0</v>
      </c>
    </row>
    <row r="98" spans="1:106" x14ac:dyDescent="0.2">
      <c r="A98">
        <f>ROW(Source!A208)</f>
        <v>208</v>
      </c>
      <c r="B98">
        <v>90163004</v>
      </c>
      <c r="C98">
        <v>90173056</v>
      </c>
      <c r="D98">
        <v>7174751</v>
      </c>
      <c r="E98">
        <v>7157832</v>
      </c>
      <c r="F98">
        <v>1</v>
      </c>
      <c r="G98">
        <v>7157832</v>
      </c>
      <c r="H98">
        <v>3</v>
      </c>
      <c r="I98" t="s">
        <v>388</v>
      </c>
      <c r="J98" t="s">
        <v>3</v>
      </c>
      <c r="K98" t="s">
        <v>389</v>
      </c>
      <c r="L98">
        <v>1354</v>
      </c>
      <c r="N98">
        <v>16987630</v>
      </c>
      <c r="O98" t="s">
        <v>342</v>
      </c>
      <c r="P98" t="s">
        <v>342</v>
      </c>
      <c r="Q98">
        <v>1</v>
      </c>
      <c r="W98">
        <v>0</v>
      </c>
      <c r="X98">
        <v>-1621171133</v>
      </c>
      <c r="Y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1</v>
      </c>
      <c r="AJ98">
        <v>1</v>
      </c>
      <c r="AK98">
        <v>1</v>
      </c>
      <c r="AL98">
        <v>1</v>
      </c>
      <c r="AN98">
        <v>0</v>
      </c>
      <c r="AO98">
        <v>0</v>
      </c>
      <c r="AP98">
        <v>1</v>
      </c>
      <c r="AQ98">
        <v>0</v>
      </c>
      <c r="AR98">
        <v>0</v>
      </c>
      <c r="AS98" t="s">
        <v>3</v>
      </c>
      <c r="AT98">
        <v>0</v>
      </c>
      <c r="AU98" t="s">
        <v>164</v>
      </c>
      <c r="AV98">
        <v>0</v>
      </c>
      <c r="AW98">
        <v>2</v>
      </c>
      <c r="AX98">
        <v>90173074</v>
      </c>
      <c r="AY98">
        <v>1</v>
      </c>
      <c r="AZ98">
        <v>0</v>
      </c>
      <c r="BA98">
        <v>93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CX98">
        <f>Y98*Source!I208</f>
        <v>0</v>
      </c>
      <c r="CY98">
        <f t="shared" si="15"/>
        <v>0</v>
      </c>
      <c r="CZ98">
        <f t="shared" si="16"/>
        <v>0</v>
      </c>
      <c r="DA98">
        <f t="shared" si="17"/>
        <v>1</v>
      </c>
      <c r="DB98">
        <v>0</v>
      </c>
    </row>
    <row r="99" spans="1:106" x14ac:dyDescent="0.2">
      <c r="A99">
        <f>ROW(Source!A208)</f>
        <v>208</v>
      </c>
      <c r="B99">
        <v>90163004</v>
      </c>
      <c r="C99">
        <v>90173056</v>
      </c>
      <c r="D99">
        <v>7174770</v>
      </c>
      <c r="E99">
        <v>7157832</v>
      </c>
      <c r="F99">
        <v>1</v>
      </c>
      <c r="G99">
        <v>7157832</v>
      </c>
      <c r="H99">
        <v>3</v>
      </c>
      <c r="I99" t="s">
        <v>390</v>
      </c>
      <c r="J99" t="s">
        <v>3</v>
      </c>
      <c r="K99" t="s">
        <v>391</v>
      </c>
      <c r="L99">
        <v>1354</v>
      </c>
      <c r="N99">
        <v>16987630</v>
      </c>
      <c r="O99" t="s">
        <v>342</v>
      </c>
      <c r="P99" t="s">
        <v>342</v>
      </c>
      <c r="Q99">
        <v>1</v>
      </c>
      <c r="W99">
        <v>0</v>
      </c>
      <c r="X99">
        <v>-302220325</v>
      </c>
      <c r="Y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1</v>
      </c>
      <c r="AJ99">
        <v>1</v>
      </c>
      <c r="AK99">
        <v>1</v>
      </c>
      <c r="AL99">
        <v>1</v>
      </c>
      <c r="AN99">
        <v>0</v>
      </c>
      <c r="AO99">
        <v>0</v>
      </c>
      <c r="AP99">
        <v>1</v>
      </c>
      <c r="AQ99">
        <v>0</v>
      </c>
      <c r="AR99">
        <v>0</v>
      </c>
      <c r="AS99" t="s">
        <v>3</v>
      </c>
      <c r="AT99">
        <v>0</v>
      </c>
      <c r="AU99" t="s">
        <v>164</v>
      </c>
      <c r="AV99">
        <v>0</v>
      </c>
      <c r="AW99">
        <v>2</v>
      </c>
      <c r="AX99">
        <v>90173075</v>
      </c>
      <c r="AY99">
        <v>1</v>
      </c>
      <c r="AZ99">
        <v>0</v>
      </c>
      <c r="BA99">
        <v>94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CX99">
        <f>Y99*Source!I208</f>
        <v>0</v>
      </c>
      <c r="CY99">
        <f t="shared" si="15"/>
        <v>0</v>
      </c>
      <c r="CZ99">
        <f t="shared" si="16"/>
        <v>0</v>
      </c>
      <c r="DA99">
        <f t="shared" si="17"/>
        <v>1</v>
      </c>
      <c r="DB99">
        <v>0</v>
      </c>
    </row>
    <row r="100" spans="1:106" x14ac:dyDescent="0.2">
      <c r="A100">
        <f>ROW(Source!A209)</f>
        <v>209</v>
      </c>
      <c r="B100">
        <v>90163004</v>
      </c>
      <c r="C100">
        <v>90164053</v>
      </c>
      <c r="D100">
        <v>7157835</v>
      </c>
      <c r="E100">
        <v>7157832</v>
      </c>
      <c r="F100">
        <v>1</v>
      </c>
      <c r="G100">
        <v>7157832</v>
      </c>
      <c r="H100">
        <v>1</v>
      </c>
      <c r="I100" t="s">
        <v>276</v>
      </c>
      <c r="J100" t="s">
        <v>3</v>
      </c>
      <c r="K100" t="s">
        <v>277</v>
      </c>
      <c r="L100">
        <v>1191</v>
      </c>
      <c r="N100">
        <v>1013</v>
      </c>
      <c r="O100" t="s">
        <v>278</v>
      </c>
      <c r="P100" t="s">
        <v>278</v>
      </c>
      <c r="Q100">
        <v>1</v>
      </c>
      <c r="W100">
        <v>0</v>
      </c>
      <c r="X100">
        <v>946207192</v>
      </c>
      <c r="Y100">
        <v>21.01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1</v>
      </c>
      <c r="AK100">
        <v>1</v>
      </c>
      <c r="AL100">
        <v>1</v>
      </c>
      <c r="AN100">
        <v>0</v>
      </c>
      <c r="AO100">
        <v>1</v>
      </c>
      <c r="AP100">
        <v>1</v>
      </c>
      <c r="AQ100">
        <v>0</v>
      </c>
      <c r="AR100">
        <v>0</v>
      </c>
      <c r="AS100" t="s">
        <v>3</v>
      </c>
      <c r="AT100">
        <v>19.100000000000001</v>
      </c>
      <c r="AU100" t="s">
        <v>172</v>
      </c>
      <c r="AV100">
        <v>1</v>
      </c>
      <c r="AW100">
        <v>2</v>
      </c>
      <c r="AX100">
        <v>90164055</v>
      </c>
      <c r="AY100">
        <v>1</v>
      </c>
      <c r="AZ100">
        <v>0</v>
      </c>
      <c r="BA100">
        <v>95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CX100">
        <f>Y100*Source!I209</f>
        <v>20.392306000000001</v>
      </c>
      <c r="CY100">
        <f>AD100</f>
        <v>0</v>
      </c>
      <c r="CZ100">
        <f>AH100</f>
        <v>0</v>
      </c>
      <c r="DA100">
        <f>AL100</f>
        <v>1</v>
      </c>
      <c r="DB100">
        <v>0</v>
      </c>
    </row>
    <row r="101" spans="1:106" x14ac:dyDescent="0.2">
      <c r="A101">
        <f>ROW(Source!A210)</f>
        <v>210</v>
      </c>
      <c r="B101">
        <v>90163004</v>
      </c>
      <c r="C101">
        <v>90164056</v>
      </c>
      <c r="D101">
        <v>7157835</v>
      </c>
      <c r="E101">
        <v>7157832</v>
      </c>
      <c r="F101">
        <v>1</v>
      </c>
      <c r="G101">
        <v>7157832</v>
      </c>
      <c r="H101">
        <v>1</v>
      </c>
      <c r="I101" t="s">
        <v>276</v>
      </c>
      <c r="J101" t="s">
        <v>3</v>
      </c>
      <c r="K101" t="s">
        <v>277</v>
      </c>
      <c r="L101">
        <v>1191</v>
      </c>
      <c r="N101">
        <v>1013</v>
      </c>
      <c r="O101" t="s">
        <v>278</v>
      </c>
      <c r="P101" t="s">
        <v>278</v>
      </c>
      <c r="Q101">
        <v>1</v>
      </c>
      <c r="W101">
        <v>0</v>
      </c>
      <c r="X101">
        <v>946207192</v>
      </c>
      <c r="Y101">
        <v>1.38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1</v>
      </c>
      <c r="AJ101">
        <v>1</v>
      </c>
      <c r="AK101">
        <v>1</v>
      </c>
      <c r="AL101">
        <v>1</v>
      </c>
      <c r="AN101">
        <v>0</v>
      </c>
      <c r="AO101">
        <v>1</v>
      </c>
      <c r="AP101">
        <v>1</v>
      </c>
      <c r="AQ101">
        <v>0</v>
      </c>
      <c r="AR101">
        <v>0</v>
      </c>
      <c r="AS101" t="s">
        <v>3</v>
      </c>
      <c r="AT101">
        <v>2</v>
      </c>
      <c r="AU101" t="s">
        <v>249</v>
      </c>
      <c r="AV101">
        <v>1</v>
      </c>
      <c r="AW101">
        <v>2</v>
      </c>
      <c r="AX101">
        <v>90164063</v>
      </c>
      <c r="AY101">
        <v>1</v>
      </c>
      <c r="AZ101">
        <v>0</v>
      </c>
      <c r="BA101">
        <v>96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CX101">
        <f>Y101*Source!I210</f>
        <v>133.94280000000001</v>
      </c>
      <c r="CY101">
        <f>AD101</f>
        <v>0</v>
      </c>
      <c r="CZ101">
        <f>AH101</f>
        <v>0</v>
      </c>
      <c r="DA101">
        <f>AL101</f>
        <v>1</v>
      </c>
      <c r="DB101">
        <v>0</v>
      </c>
    </row>
    <row r="102" spans="1:106" x14ac:dyDescent="0.2">
      <c r="A102">
        <f>ROW(Source!A210)</f>
        <v>210</v>
      </c>
      <c r="B102">
        <v>90163004</v>
      </c>
      <c r="C102">
        <v>90164056</v>
      </c>
      <c r="D102">
        <v>7159942</v>
      </c>
      <c r="E102">
        <v>7157832</v>
      </c>
      <c r="F102">
        <v>1</v>
      </c>
      <c r="G102">
        <v>7157832</v>
      </c>
      <c r="H102">
        <v>2</v>
      </c>
      <c r="I102" t="s">
        <v>279</v>
      </c>
      <c r="J102" t="s">
        <v>3</v>
      </c>
      <c r="K102" t="s">
        <v>280</v>
      </c>
      <c r="L102">
        <v>1344</v>
      </c>
      <c r="N102">
        <v>1008</v>
      </c>
      <c r="O102" t="s">
        <v>281</v>
      </c>
      <c r="P102" t="s">
        <v>281</v>
      </c>
      <c r="Q102">
        <v>1</v>
      </c>
      <c r="W102">
        <v>0</v>
      </c>
      <c r="X102">
        <v>-450565604</v>
      </c>
      <c r="Y102">
        <v>2.7393000000000001</v>
      </c>
      <c r="AA102">
        <v>0</v>
      </c>
      <c r="AB102">
        <v>1.05</v>
      </c>
      <c r="AC102">
        <v>0</v>
      </c>
      <c r="AD102">
        <v>0</v>
      </c>
      <c r="AE102">
        <v>0</v>
      </c>
      <c r="AF102">
        <v>1</v>
      </c>
      <c r="AG102">
        <v>0</v>
      </c>
      <c r="AH102">
        <v>0</v>
      </c>
      <c r="AI102">
        <v>1</v>
      </c>
      <c r="AJ102">
        <v>1</v>
      </c>
      <c r="AK102">
        <v>1</v>
      </c>
      <c r="AL102">
        <v>1</v>
      </c>
      <c r="AN102">
        <v>0</v>
      </c>
      <c r="AO102">
        <v>1</v>
      </c>
      <c r="AP102">
        <v>1</v>
      </c>
      <c r="AQ102">
        <v>0</v>
      </c>
      <c r="AR102">
        <v>0</v>
      </c>
      <c r="AS102" t="s">
        <v>3</v>
      </c>
      <c r="AT102">
        <v>3.97</v>
      </c>
      <c r="AU102" t="s">
        <v>249</v>
      </c>
      <c r="AV102">
        <v>0</v>
      </c>
      <c r="AW102">
        <v>2</v>
      </c>
      <c r="AX102">
        <v>90164064</v>
      </c>
      <c r="AY102">
        <v>1</v>
      </c>
      <c r="AZ102">
        <v>0</v>
      </c>
      <c r="BA102">
        <v>97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CX102">
        <f>Y102*Source!I210</f>
        <v>265.87645800000001</v>
      </c>
      <c r="CY102">
        <f>AB102</f>
        <v>1.05</v>
      </c>
      <c r="CZ102">
        <f>AF102</f>
        <v>1</v>
      </c>
      <c r="DA102">
        <f>AJ102</f>
        <v>1</v>
      </c>
      <c r="DB102">
        <v>0</v>
      </c>
    </row>
    <row r="103" spans="1:106" x14ac:dyDescent="0.2">
      <c r="A103">
        <f>ROW(Source!A210)</f>
        <v>210</v>
      </c>
      <c r="B103">
        <v>90163004</v>
      </c>
      <c r="C103">
        <v>90164056</v>
      </c>
      <c r="D103">
        <v>7182707</v>
      </c>
      <c r="E103">
        <v>7157832</v>
      </c>
      <c r="F103">
        <v>1</v>
      </c>
      <c r="G103">
        <v>7157832</v>
      </c>
      <c r="H103">
        <v>3</v>
      </c>
      <c r="I103" t="s">
        <v>37</v>
      </c>
      <c r="J103" t="s">
        <v>3</v>
      </c>
      <c r="K103" t="s">
        <v>282</v>
      </c>
      <c r="L103">
        <v>1344</v>
      </c>
      <c r="N103">
        <v>1008</v>
      </c>
      <c r="O103" t="s">
        <v>281</v>
      </c>
      <c r="P103" t="s">
        <v>281</v>
      </c>
      <c r="Q103">
        <v>1</v>
      </c>
      <c r="W103">
        <v>0</v>
      </c>
      <c r="X103">
        <v>-360884371</v>
      </c>
      <c r="Y103">
        <v>0</v>
      </c>
      <c r="AA103">
        <v>1.02</v>
      </c>
      <c r="AB103">
        <v>0</v>
      </c>
      <c r="AC103">
        <v>0</v>
      </c>
      <c r="AD103">
        <v>0</v>
      </c>
      <c r="AE103">
        <v>1</v>
      </c>
      <c r="AF103">
        <v>0</v>
      </c>
      <c r="AG103">
        <v>0</v>
      </c>
      <c r="AH103">
        <v>0</v>
      </c>
      <c r="AI103">
        <v>1</v>
      </c>
      <c r="AJ103">
        <v>1</v>
      </c>
      <c r="AK103">
        <v>1</v>
      </c>
      <c r="AL103">
        <v>1</v>
      </c>
      <c r="AN103">
        <v>0</v>
      </c>
      <c r="AO103">
        <v>1</v>
      </c>
      <c r="AP103">
        <v>1</v>
      </c>
      <c r="AQ103">
        <v>0</v>
      </c>
      <c r="AR103">
        <v>0</v>
      </c>
      <c r="AS103" t="s">
        <v>3</v>
      </c>
      <c r="AT103">
        <v>1</v>
      </c>
      <c r="AU103" t="s">
        <v>164</v>
      </c>
      <c r="AV103">
        <v>0</v>
      </c>
      <c r="AW103">
        <v>2</v>
      </c>
      <c r="AX103">
        <v>90164065</v>
      </c>
      <c r="AY103">
        <v>1</v>
      </c>
      <c r="AZ103">
        <v>0</v>
      </c>
      <c r="BA103">
        <v>98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CX103">
        <f>Y103*Source!I210</f>
        <v>0</v>
      </c>
      <c r="CY103">
        <f>AA103</f>
        <v>1.02</v>
      </c>
      <c r="CZ103">
        <f>AE103</f>
        <v>1</v>
      </c>
      <c r="DA103">
        <f>AI103</f>
        <v>1</v>
      </c>
      <c r="DB103">
        <v>0</v>
      </c>
    </row>
    <row r="104" spans="1:106" x14ac:dyDescent="0.2">
      <c r="A104">
        <f>ROW(Source!A210)</f>
        <v>210</v>
      </c>
      <c r="B104">
        <v>90163004</v>
      </c>
      <c r="C104">
        <v>90164056</v>
      </c>
      <c r="D104">
        <v>7158791</v>
      </c>
      <c r="E104">
        <v>7157832</v>
      </c>
      <c r="F104">
        <v>1</v>
      </c>
      <c r="G104">
        <v>7157832</v>
      </c>
      <c r="H104">
        <v>3</v>
      </c>
      <c r="I104" t="s">
        <v>410</v>
      </c>
      <c r="J104" t="s">
        <v>3</v>
      </c>
      <c r="K104" t="s">
        <v>411</v>
      </c>
      <c r="L104">
        <v>1346</v>
      </c>
      <c r="N104">
        <v>1009</v>
      </c>
      <c r="O104" t="s">
        <v>304</v>
      </c>
      <c r="P104" t="s">
        <v>304</v>
      </c>
      <c r="Q104">
        <v>1</v>
      </c>
      <c r="W104">
        <v>0</v>
      </c>
      <c r="X104">
        <v>-287147739</v>
      </c>
      <c r="Y104">
        <v>0</v>
      </c>
      <c r="AA104">
        <v>12.02</v>
      </c>
      <c r="AB104">
        <v>0</v>
      </c>
      <c r="AC104">
        <v>0</v>
      </c>
      <c r="AD104">
        <v>0</v>
      </c>
      <c r="AE104">
        <v>11.7918</v>
      </c>
      <c r="AF104">
        <v>0</v>
      </c>
      <c r="AG104">
        <v>0</v>
      </c>
      <c r="AH104">
        <v>0</v>
      </c>
      <c r="AI104">
        <v>1</v>
      </c>
      <c r="AJ104">
        <v>1</v>
      </c>
      <c r="AK104">
        <v>1</v>
      </c>
      <c r="AL104">
        <v>1</v>
      </c>
      <c r="AN104">
        <v>0</v>
      </c>
      <c r="AO104">
        <v>1</v>
      </c>
      <c r="AP104">
        <v>1</v>
      </c>
      <c r="AQ104">
        <v>0</v>
      </c>
      <c r="AR104">
        <v>0</v>
      </c>
      <c r="AS104" t="s">
        <v>3</v>
      </c>
      <c r="AT104">
        <v>0.5</v>
      </c>
      <c r="AU104" t="s">
        <v>164</v>
      </c>
      <c r="AV104">
        <v>0</v>
      </c>
      <c r="AW104">
        <v>2</v>
      </c>
      <c r="AX104">
        <v>90164066</v>
      </c>
      <c r="AY104">
        <v>1</v>
      </c>
      <c r="AZ104">
        <v>0</v>
      </c>
      <c r="BA104">
        <v>99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CX104">
        <f>Y104*Source!I210</f>
        <v>0</v>
      </c>
      <c r="CY104">
        <f>AA104</f>
        <v>12.02</v>
      </c>
      <c r="CZ104">
        <f>AE104</f>
        <v>11.7918</v>
      </c>
      <c r="DA104">
        <f>AI104</f>
        <v>1</v>
      </c>
      <c r="DB104">
        <v>0</v>
      </c>
    </row>
    <row r="105" spans="1:106" x14ac:dyDescent="0.2">
      <c r="A105">
        <f>ROW(Source!A210)</f>
        <v>210</v>
      </c>
      <c r="B105">
        <v>90163004</v>
      </c>
      <c r="C105">
        <v>90164056</v>
      </c>
      <c r="D105">
        <v>7159776</v>
      </c>
      <c r="E105">
        <v>7157832</v>
      </c>
      <c r="F105">
        <v>1</v>
      </c>
      <c r="G105">
        <v>7157832</v>
      </c>
      <c r="H105">
        <v>3</v>
      </c>
      <c r="I105" t="s">
        <v>412</v>
      </c>
      <c r="J105" t="s">
        <v>3</v>
      </c>
      <c r="K105" t="s">
        <v>413</v>
      </c>
      <c r="L105">
        <v>1348</v>
      </c>
      <c r="N105">
        <v>1009</v>
      </c>
      <c r="O105" t="s">
        <v>39</v>
      </c>
      <c r="P105" t="s">
        <v>39</v>
      </c>
      <c r="Q105">
        <v>1000</v>
      </c>
      <c r="W105">
        <v>0</v>
      </c>
      <c r="X105">
        <v>-496833492</v>
      </c>
      <c r="Y105">
        <v>0</v>
      </c>
      <c r="AA105">
        <v>5115.38</v>
      </c>
      <c r="AB105">
        <v>0</v>
      </c>
      <c r="AC105">
        <v>0</v>
      </c>
      <c r="AD105">
        <v>0</v>
      </c>
      <c r="AE105">
        <v>5020</v>
      </c>
      <c r="AF105">
        <v>0</v>
      </c>
      <c r="AG105">
        <v>0</v>
      </c>
      <c r="AH105">
        <v>0</v>
      </c>
      <c r="AI105">
        <v>1</v>
      </c>
      <c r="AJ105">
        <v>1</v>
      </c>
      <c r="AK105">
        <v>1</v>
      </c>
      <c r="AL105">
        <v>1</v>
      </c>
      <c r="AN105">
        <v>0</v>
      </c>
      <c r="AO105">
        <v>1</v>
      </c>
      <c r="AP105">
        <v>1</v>
      </c>
      <c r="AQ105">
        <v>0</v>
      </c>
      <c r="AR105">
        <v>0</v>
      </c>
      <c r="AS105" t="s">
        <v>3</v>
      </c>
      <c r="AT105">
        <v>1.2E-4</v>
      </c>
      <c r="AU105" t="s">
        <v>164</v>
      </c>
      <c r="AV105">
        <v>0</v>
      </c>
      <c r="AW105">
        <v>2</v>
      </c>
      <c r="AX105">
        <v>90164067</v>
      </c>
      <c r="AY105">
        <v>1</v>
      </c>
      <c r="AZ105">
        <v>0</v>
      </c>
      <c r="BA105">
        <v>100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CX105">
        <f>Y105*Source!I210</f>
        <v>0</v>
      </c>
      <c r="CY105">
        <f>AA105</f>
        <v>5115.38</v>
      </c>
      <c r="CZ105">
        <f>AE105</f>
        <v>5020</v>
      </c>
      <c r="DA105">
        <f>AI105</f>
        <v>1</v>
      </c>
      <c r="DB105">
        <v>0</v>
      </c>
    </row>
    <row r="106" spans="1:106" x14ac:dyDescent="0.2">
      <c r="A106">
        <f>ROW(Source!A210)</f>
        <v>210</v>
      </c>
      <c r="B106">
        <v>90163004</v>
      </c>
      <c r="C106">
        <v>90164056</v>
      </c>
      <c r="D106">
        <v>7238004</v>
      </c>
      <c r="E106">
        <v>1</v>
      </c>
      <c r="F106">
        <v>1</v>
      </c>
      <c r="G106">
        <v>7157832</v>
      </c>
      <c r="H106">
        <v>3</v>
      </c>
      <c r="I106" t="s">
        <v>414</v>
      </c>
      <c r="J106" t="s">
        <v>415</v>
      </c>
      <c r="K106" t="s">
        <v>416</v>
      </c>
      <c r="L106">
        <v>1327</v>
      </c>
      <c r="N106">
        <v>1005</v>
      </c>
      <c r="O106" t="s">
        <v>151</v>
      </c>
      <c r="P106" t="s">
        <v>151</v>
      </c>
      <c r="Q106">
        <v>1</v>
      </c>
      <c r="W106">
        <v>0</v>
      </c>
      <c r="X106">
        <v>1044230239</v>
      </c>
      <c r="Y106">
        <v>0</v>
      </c>
      <c r="AA106">
        <v>171.5</v>
      </c>
      <c r="AB106">
        <v>0</v>
      </c>
      <c r="AC106">
        <v>0</v>
      </c>
      <c r="AD106">
        <v>0</v>
      </c>
      <c r="AE106">
        <v>49.5</v>
      </c>
      <c r="AF106">
        <v>0</v>
      </c>
      <c r="AG106">
        <v>0</v>
      </c>
      <c r="AH106">
        <v>0</v>
      </c>
      <c r="AI106">
        <v>3.4</v>
      </c>
      <c r="AJ106">
        <v>1</v>
      </c>
      <c r="AK106">
        <v>1</v>
      </c>
      <c r="AL106">
        <v>1</v>
      </c>
      <c r="AN106">
        <v>0</v>
      </c>
      <c r="AO106">
        <v>1</v>
      </c>
      <c r="AP106">
        <v>1</v>
      </c>
      <c r="AQ106">
        <v>0</v>
      </c>
      <c r="AR106">
        <v>0</v>
      </c>
      <c r="AS106" t="s">
        <v>3</v>
      </c>
      <c r="AT106">
        <v>1.2</v>
      </c>
      <c r="AU106" t="s">
        <v>164</v>
      </c>
      <c r="AV106">
        <v>0</v>
      </c>
      <c r="AW106">
        <v>2</v>
      </c>
      <c r="AX106">
        <v>90164068</v>
      </c>
      <c r="AY106">
        <v>1</v>
      </c>
      <c r="AZ106">
        <v>0</v>
      </c>
      <c r="BA106">
        <v>101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CX106">
        <f>Y106*Source!I210</f>
        <v>0</v>
      </c>
      <c r="CY106">
        <f>AA106</f>
        <v>171.5</v>
      </c>
      <c r="CZ106">
        <f>AE106</f>
        <v>49.5</v>
      </c>
      <c r="DA106">
        <f>AI106</f>
        <v>3.4</v>
      </c>
      <c r="DB106">
        <v>0</v>
      </c>
    </row>
    <row r="107" spans="1:106" x14ac:dyDescent="0.2">
      <c r="A107">
        <f>ROW(Source!A211)</f>
        <v>211</v>
      </c>
      <c r="B107">
        <v>90163004</v>
      </c>
      <c r="C107">
        <v>90164069</v>
      </c>
      <c r="D107">
        <v>7157835</v>
      </c>
      <c r="E107">
        <v>7157832</v>
      </c>
      <c r="F107">
        <v>1</v>
      </c>
      <c r="G107">
        <v>7157832</v>
      </c>
      <c r="H107">
        <v>1</v>
      </c>
      <c r="I107" t="s">
        <v>276</v>
      </c>
      <c r="J107" t="s">
        <v>3</v>
      </c>
      <c r="K107" t="s">
        <v>277</v>
      </c>
      <c r="L107">
        <v>1191</v>
      </c>
      <c r="N107">
        <v>1013</v>
      </c>
      <c r="O107" t="s">
        <v>278</v>
      </c>
      <c r="P107" t="s">
        <v>278</v>
      </c>
      <c r="Q107">
        <v>1</v>
      </c>
      <c r="W107">
        <v>0</v>
      </c>
      <c r="X107">
        <v>946207192</v>
      </c>
      <c r="Y107">
        <v>760.84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1</v>
      </c>
      <c r="AJ107">
        <v>1</v>
      </c>
      <c r="AK107">
        <v>1</v>
      </c>
      <c r="AL107">
        <v>1</v>
      </c>
      <c r="AN107">
        <v>0</v>
      </c>
      <c r="AO107">
        <v>1</v>
      </c>
      <c r="AP107">
        <v>1</v>
      </c>
      <c r="AQ107">
        <v>0</v>
      </c>
      <c r="AR107">
        <v>0</v>
      </c>
      <c r="AS107" t="s">
        <v>3</v>
      </c>
      <c r="AT107">
        <v>827</v>
      </c>
      <c r="AU107" t="s">
        <v>165</v>
      </c>
      <c r="AV107">
        <v>1</v>
      </c>
      <c r="AW107">
        <v>2</v>
      </c>
      <c r="AX107">
        <v>90164085</v>
      </c>
      <c r="AY107">
        <v>1</v>
      </c>
      <c r="AZ107">
        <v>0</v>
      </c>
      <c r="BA107">
        <v>102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CX107">
        <f>Y107*Source!I211</f>
        <v>434.81092992000004</v>
      </c>
      <c r="CY107">
        <f>AD107</f>
        <v>0</v>
      </c>
      <c r="CZ107">
        <f>AH107</f>
        <v>0</v>
      </c>
      <c r="DA107">
        <f>AL107</f>
        <v>1</v>
      </c>
      <c r="DB107">
        <v>0</v>
      </c>
    </row>
    <row r="108" spans="1:106" x14ac:dyDescent="0.2">
      <c r="A108">
        <f>ROW(Source!A211)</f>
        <v>211</v>
      </c>
      <c r="B108">
        <v>90163004</v>
      </c>
      <c r="C108">
        <v>90164069</v>
      </c>
      <c r="D108">
        <v>7231210</v>
      </c>
      <c r="E108">
        <v>1</v>
      </c>
      <c r="F108">
        <v>1</v>
      </c>
      <c r="G108">
        <v>7157832</v>
      </c>
      <c r="H108">
        <v>2</v>
      </c>
      <c r="I108" t="s">
        <v>314</v>
      </c>
      <c r="J108" t="s">
        <v>315</v>
      </c>
      <c r="K108" t="s">
        <v>316</v>
      </c>
      <c r="L108">
        <v>1368</v>
      </c>
      <c r="N108">
        <v>1011</v>
      </c>
      <c r="O108" t="s">
        <v>286</v>
      </c>
      <c r="P108" t="s">
        <v>286</v>
      </c>
      <c r="Q108">
        <v>1</v>
      </c>
      <c r="W108">
        <v>0</v>
      </c>
      <c r="X108">
        <v>1800549925</v>
      </c>
      <c r="Y108">
        <v>24.195999999999998</v>
      </c>
      <c r="AA108">
        <v>0</v>
      </c>
      <c r="AB108">
        <v>67.13</v>
      </c>
      <c r="AC108">
        <v>5.88</v>
      </c>
      <c r="AD108">
        <v>0</v>
      </c>
      <c r="AE108">
        <v>0</v>
      </c>
      <c r="AF108">
        <v>7.01</v>
      </c>
      <c r="AG108">
        <v>0.31</v>
      </c>
      <c r="AH108">
        <v>0</v>
      </c>
      <c r="AI108">
        <v>1</v>
      </c>
      <c r="AJ108">
        <v>8.81</v>
      </c>
      <c r="AK108">
        <v>17.46</v>
      </c>
      <c r="AL108">
        <v>1</v>
      </c>
      <c r="AN108">
        <v>0</v>
      </c>
      <c r="AO108">
        <v>1</v>
      </c>
      <c r="AP108">
        <v>1</v>
      </c>
      <c r="AQ108">
        <v>0</v>
      </c>
      <c r="AR108">
        <v>0</v>
      </c>
      <c r="AS108" t="s">
        <v>3</v>
      </c>
      <c r="AT108">
        <v>26.3</v>
      </c>
      <c r="AU108" t="s">
        <v>165</v>
      </c>
      <c r="AV108">
        <v>0</v>
      </c>
      <c r="AW108">
        <v>2</v>
      </c>
      <c r="AX108">
        <v>90164086</v>
      </c>
      <c r="AY108">
        <v>1</v>
      </c>
      <c r="AZ108">
        <v>0</v>
      </c>
      <c r="BA108">
        <v>103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CX108">
        <f>Y108*Source!I211</f>
        <v>13.827723647999999</v>
      </c>
      <c r="CY108">
        <f>AB108</f>
        <v>67.13</v>
      </c>
      <c r="CZ108">
        <f>AF108</f>
        <v>7.01</v>
      </c>
      <c r="DA108">
        <f>AJ108</f>
        <v>8.81</v>
      </c>
      <c r="DB108">
        <v>0</v>
      </c>
    </row>
    <row r="109" spans="1:106" x14ac:dyDescent="0.2">
      <c r="A109">
        <f>ROW(Source!A211)</f>
        <v>211</v>
      </c>
      <c r="B109">
        <v>90163004</v>
      </c>
      <c r="C109">
        <v>90164069</v>
      </c>
      <c r="D109">
        <v>7231421</v>
      </c>
      <c r="E109">
        <v>1</v>
      </c>
      <c r="F109">
        <v>1</v>
      </c>
      <c r="G109">
        <v>7157832</v>
      </c>
      <c r="H109">
        <v>2</v>
      </c>
      <c r="I109" t="s">
        <v>293</v>
      </c>
      <c r="J109" t="s">
        <v>294</v>
      </c>
      <c r="K109" t="s">
        <v>295</v>
      </c>
      <c r="L109">
        <v>1368</v>
      </c>
      <c r="N109">
        <v>1011</v>
      </c>
      <c r="O109" t="s">
        <v>286</v>
      </c>
      <c r="P109" t="s">
        <v>286</v>
      </c>
      <c r="Q109">
        <v>1</v>
      </c>
      <c r="W109">
        <v>0</v>
      </c>
      <c r="X109">
        <v>-1289262214</v>
      </c>
      <c r="Y109">
        <v>2.2724000000000002</v>
      </c>
      <c r="AA109">
        <v>0</v>
      </c>
      <c r="AB109">
        <v>730.67</v>
      </c>
      <c r="AC109">
        <v>333.84</v>
      </c>
      <c r="AD109">
        <v>0</v>
      </c>
      <c r="AE109">
        <v>0</v>
      </c>
      <c r="AF109">
        <v>74.44</v>
      </c>
      <c r="AG109">
        <v>17.59</v>
      </c>
      <c r="AH109">
        <v>0</v>
      </c>
      <c r="AI109">
        <v>1</v>
      </c>
      <c r="AJ109">
        <v>9.0299999999999994</v>
      </c>
      <c r="AK109">
        <v>17.46</v>
      </c>
      <c r="AL109">
        <v>1</v>
      </c>
      <c r="AN109">
        <v>0</v>
      </c>
      <c r="AO109">
        <v>1</v>
      </c>
      <c r="AP109">
        <v>1</v>
      </c>
      <c r="AQ109">
        <v>0</v>
      </c>
      <c r="AR109">
        <v>0</v>
      </c>
      <c r="AS109" t="s">
        <v>3</v>
      </c>
      <c r="AT109">
        <v>2.4700000000000002</v>
      </c>
      <c r="AU109" t="s">
        <v>165</v>
      </c>
      <c r="AV109">
        <v>0</v>
      </c>
      <c r="AW109">
        <v>2</v>
      </c>
      <c r="AX109">
        <v>90164087</v>
      </c>
      <c r="AY109">
        <v>1</v>
      </c>
      <c r="AZ109">
        <v>0</v>
      </c>
      <c r="BA109">
        <v>104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CX109">
        <f>Y109*Source!I211</f>
        <v>1.2986493312</v>
      </c>
      <c r="CY109">
        <f>AB109</f>
        <v>730.67</v>
      </c>
      <c r="CZ109">
        <f>AF109</f>
        <v>74.44</v>
      </c>
      <c r="DA109">
        <f>AJ109</f>
        <v>9.0299999999999994</v>
      </c>
      <c r="DB109">
        <v>0</v>
      </c>
    </row>
    <row r="110" spans="1:106" x14ac:dyDescent="0.2">
      <c r="A110">
        <f>ROW(Source!A211)</f>
        <v>211</v>
      </c>
      <c r="B110">
        <v>90163004</v>
      </c>
      <c r="C110">
        <v>90164069</v>
      </c>
      <c r="D110">
        <v>7230811</v>
      </c>
      <c r="E110">
        <v>1</v>
      </c>
      <c r="F110">
        <v>1</v>
      </c>
      <c r="G110">
        <v>7157832</v>
      </c>
      <c r="H110">
        <v>2</v>
      </c>
      <c r="I110" t="s">
        <v>317</v>
      </c>
      <c r="J110" t="s">
        <v>318</v>
      </c>
      <c r="K110" t="s">
        <v>319</v>
      </c>
      <c r="L110">
        <v>1368</v>
      </c>
      <c r="N110">
        <v>1011</v>
      </c>
      <c r="O110" t="s">
        <v>286</v>
      </c>
      <c r="P110" t="s">
        <v>286</v>
      </c>
      <c r="Q110">
        <v>1</v>
      </c>
      <c r="W110">
        <v>0</v>
      </c>
      <c r="X110">
        <v>1373649140</v>
      </c>
      <c r="Y110">
        <v>1.5179999999999998</v>
      </c>
      <c r="AA110">
        <v>0</v>
      </c>
      <c r="AB110">
        <v>882.4</v>
      </c>
      <c r="AC110">
        <v>569.94000000000005</v>
      </c>
      <c r="AD110">
        <v>0</v>
      </c>
      <c r="AE110">
        <v>0</v>
      </c>
      <c r="AF110">
        <v>102.11</v>
      </c>
      <c r="AG110">
        <v>30.03</v>
      </c>
      <c r="AH110">
        <v>0</v>
      </c>
      <c r="AI110">
        <v>1</v>
      </c>
      <c r="AJ110">
        <v>7.95</v>
      </c>
      <c r="AK110">
        <v>17.46</v>
      </c>
      <c r="AL110">
        <v>1</v>
      </c>
      <c r="AN110">
        <v>0</v>
      </c>
      <c r="AO110">
        <v>1</v>
      </c>
      <c r="AP110">
        <v>1</v>
      </c>
      <c r="AQ110">
        <v>0</v>
      </c>
      <c r="AR110">
        <v>0</v>
      </c>
      <c r="AS110" t="s">
        <v>3</v>
      </c>
      <c r="AT110">
        <v>1.65</v>
      </c>
      <c r="AU110" t="s">
        <v>165</v>
      </c>
      <c r="AV110">
        <v>0</v>
      </c>
      <c r="AW110">
        <v>2</v>
      </c>
      <c r="AX110">
        <v>90164088</v>
      </c>
      <c r="AY110">
        <v>1</v>
      </c>
      <c r="AZ110">
        <v>0</v>
      </c>
      <c r="BA110">
        <v>105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CX110">
        <f>Y110*Source!I211</f>
        <v>0.86751878399999982</v>
      </c>
      <c r="CY110">
        <f>AB110</f>
        <v>882.4</v>
      </c>
      <c r="CZ110">
        <f>AF110</f>
        <v>102.11</v>
      </c>
      <c r="DA110">
        <f>AJ110</f>
        <v>7.95</v>
      </c>
      <c r="DB110">
        <v>0</v>
      </c>
    </row>
    <row r="111" spans="1:106" x14ac:dyDescent="0.2">
      <c r="A111">
        <f>ROW(Source!A211)</f>
        <v>211</v>
      </c>
      <c r="B111">
        <v>90163004</v>
      </c>
      <c r="C111">
        <v>90164069</v>
      </c>
      <c r="D111">
        <v>7231063</v>
      </c>
      <c r="E111">
        <v>1</v>
      </c>
      <c r="F111">
        <v>1</v>
      </c>
      <c r="G111">
        <v>7157832</v>
      </c>
      <c r="H111">
        <v>2</v>
      </c>
      <c r="I111" t="s">
        <v>320</v>
      </c>
      <c r="J111" t="s">
        <v>321</v>
      </c>
      <c r="K111" t="s">
        <v>322</v>
      </c>
      <c r="L111">
        <v>1368</v>
      </c>
      <c r="N111">
        <v>1011</v>
      </c>
      <c r="O111" t="s">
        <v>286</v>
      </c>
      <c r="P111" t="s">
        <v>286</v>
      </c>
      <c r="Q111">
        <v>1</v>
      </c>
      <c r="W111">
        <v>0</v>
      </c>
      <c r="X111">
        <v>1377528409</v>
      </c>
      <c r="Y111">
        <v>35.741999999999997</v>
      </c>
      <c r="AA111">
        <v>0</v>
      </c>
      <c r="AB111">
        <v>9.07</v>
      </c>
      <c r="AC111">
        <v>1.71</v>
      </c>
      <c r="AD111">
        <v>0</v>
      </c>
      <c r="AE111">
        <v>0</v>
      </c>
      <c r="AF111">
        <v>2.06</v>
      </c>
      <c r="AG111">
        <v>0.09</v>
      </c>
      <c r="AH111">
        <v>0</v>
      </c>
      <c r="AI111">
        <v>1</v>
      </c>
      <c r="AJ111">
        <v>4.05</v>
      </c>
      <c r="AK111">
        <v>17.46</v>
      </c>
      <c r="AL111">
        <v>1</v>
      </c>
      <c r="AN111">
        <v>0</v>
      </c>
      <c r="AO111">
        <v>1</v>
      </c>
      <c r="AP111">
        <v>1</v>
      </c>
      <c r="AQ111">
        <v>0</v>
      </c>
      <c r="AR111">
        <v>0</v>
      </c>
      <c r="AS111" t="s">
        <v>3</v>
      </c>
      <c r="AT111">
        <v>38.85</v>
      </c>
      <c r="AU111" t="s">
        <v>165</v>
      </c>
      <c r="AV111">
        <v>0</v>
      </c>
      <c r="AW111">
        <v>2</v>
      </c>
      <c r="AX111">
        <v>90164089</v>
      </c>
      <c r="AY111">
        <v>1</v>
      </c>
      <c r="AZ111">
        <v>0</v>
      </c>
      <c r="BA111">
        <v>106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  <c r="BS111">
        <v>0</v>
      </c>
      <c r="BT111">
        <v>0</v>
      </c>
      <c r="BU111">
        <v>0</v>
      </c>
      <c r="BV111">
        <v>0</v>
      </c>
      <c r="BW111">
        <v>0</v>
      </c>
      <c r="CX111">
        <f>Y111*Source!I211</f>
        <v>20.426124095999999</v>
      </c>
      <c r="CY111">
        <f>AB111</f>
        <v>9.07</v>
      </c>
      <c r="CZ111">
        <f>AF111</f>
        <v>2.06</v>
      </c>
      <c r="DA111">
        <f>AJ111</f>
        <v>4.05</v>
      </c>
      <c r="DB111">
        <v>0</v>
      </c>
    </row>
    <row r="112" spans="1:106" x14ac:dyDescent="0.2">
      <c r="A112">
        <f>ROW(Source!A211)</f>
        <v>211</v>
      </c>
      <c r="B112">
        <v>90163004</v>
      </c>
      <c r="C112">
        <v>90164069</v>
      </c>
      <c r="D112">
        <v>7158352</v>
      </c>
      <c r="E112">
        <v>7157832</v>
      </c>
      <c r="F112">
        <v>1</v>
      </c>
      <c r="G112">
        <v>7157832</v>
      </c>
      <c r="H112">
        <v>3</v>
      </c>
      <c r="I112" t="s">
        <v>323</v>
      </c>
      <c r="J112" t="s">
        <v>3</v>
      </c>
      <c r="K112" t="s">
        <v>324</v>
      </c>
      <c r="L112">
        <v>1348</v>
      </c>
      <c r="N112">
        <v>1009</v>
      </c>
      <c r="O112" t="s">
        <v>39</v>
      </c>
      <c r="P112" t="s">
        <v>39</v>
      </c>
      <c r="Q112">
        <v>1000</v>
      </c>
      <c r="W112">
        <v>0</v>
      </c>
      <c r="X112">
        <v>1013857838</v>
      </c>
      <c r="Y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1</v>
      </c>
      <c r="AJ112">
        <v>1</v>
      </c>
      <c r="AK112">
        <v>1</v>
      </c>
      <c r="AL112">
        <v>1</v>
      </c>
      <c r="AN112">
        <v>0</v>
      </c>
      <c r="AO112">
        <v>0</v>
      </c>
      <c r="AP112">
        <v>1</v>
      </c>
      <c r="AQ112">
        <v>0</v>
      </c>
      <c r="AR112">
        <v>0</v>
      </c>
      <c r="AS112" t="s">
        <v>3</v>
      </c>
      <c r="AT112">
        <v>9.5</v>
      </c>
      <c r="AU112" t="s">
        <v>164</v>
      </c>
      <c r="AV112">
        <v>0</v>
      </c>
      <c r="AW112">
        <v>2</v>
      </c>
      <c r="AX112">
        <v>90164090</v>
      </c>
      <c r="AY112">
        <v>1</v>
      </c>
      <c r="AZ112">
        <v>0</v>
      </c>
      <c r="BA112">
        <v>107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  <c r="BS112">
        <v>0</v>
      </c>
      <c r="BT112">
        <v>0</v>
      </c>
      <c r="BU112">
        <v>0</v>
      </c>
      <c r="BV112">
        <v>0</v>
      </c>
      <c r="BW112">
        <v>0</v>
      </c>
      <c r="CX112">
        <f>Y112*Source!I211</f>
        <v>0</v>
      </c>
      <c r="CY112">
        <f t="shared" ref="CY112:CY121" si="18">AA112</f>
        <v>0</v>
      </c>
      <c r="CZ112">
        <f t="shared" ref="CZ112:CZ121" si="19">AE112</f>
        <v>0</v>
      </c>
      <c r="DA112">
        <f t="shared" ref="DA112:DA121" si="20">AI112</f>
        <v>1</v>
      </c>
      <c r="DB112">
        <v>0</v>
      </c>
    </row>
    <row r="113" spans="1:106" x14ac:dyDescent="0.2">
      <c r="A113">
        <f>ROW(Source!A211)</f>
        <v>211</v>
      </c>
      <c r="B113">
        <v>90163004</v>
      </c>
      <c r="C113">
        <v>90164069</v>
      </c>
      <c r="D113">
        <v>7231843</v>
      </c>
      <c r="E113">
        <v>1</v>
      </c>
      <c r="F113">
        <v>1</v>
      </c>
      <c r="G113">
        <v>7157832</v>
      </c>
      <c r="H113">
        <v>3</v>
      </c>
      <c r="I113" t="s">
        <v>325</v>
      </c>
      <c r="J113" t="s">
        <v>326</v>
      </c>
      <c r="K113" t="s">
        <v>327</v>
      </c>
      <c r="L113">
        <v>1348</v>
      </c>
      <c r="N113">
        <v>1009</v>
      </c>
      <c r="O113" t="s">
        <v>39</v>
      </c>
      <c r="P113" t="s">
        <v>39</v>
      </c>
      <c r="Q113">
        <v>1000</v>
      </c>
      <c r="W113">
        <v>0</v>
      </c>
      <c r="X113">
        <v>-1423428334</v>
      </c>
      <c r="Y113">
        <v>0</v>
      </c>
      <c r="AA113">
        <v>47880</v>
      </c>
      <c r="AB113">
        <v>0</v>
      </c>
      <c r="AC113">
        <v>0</v>
      </c>
      <c r="AD113">
        <v>0</v>
      </c>
      <c r="AE113">
        <v>6521.42</v>
      </c>
      <c r="AF113">
        <v>0</v>
      </c>
      <c r="AG113">
        <v>0</v>
      </c>
      <c r="AH113">
        <v>0</v>
      </c>
      <c r="AI113">
        <v>7.32</v>
      </c>
      <c r="AJ113">
        <v>1</v>
      </c>
      <c r="AK113">
        <v>1</v>
      </c>
      <c r="AL113">
        <v>1</v>
      </c>
      <c r="AN113">
        <v>0</v>
      </c>
      <c r="AO113">
        <v>1</v>
      </c>
      <c r="AP113">
        <v>1</v>
      </c>
      <c r="AQ113">
        <v>0</v>
      </c>
      <c r="AR113">
        <v>0</v>
      </c>
      <c r="AS113" t="s">
        <v>3</v>
      </c>
      <c r="AT113">
        <v>0.01</v>
      </c>
      <c r="AU113" t="s">
        <v>164</v>
      </c>
      <c r="AV113">
        <v>0</v>
      </c>
      <c r="AW113">
        <v>2</v>
      </c>
      <c r="AX113">
        <v>90164091</v>
      </c>
      <c r="AY113">
        <v>1</v>
      </c>
      <c r="AZ113">
        <v>0</v>
      </c>
      <c r="BA113">
        <v>108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  <c r="BS113">
        <v>0</v>
      </c>
      <c r="BT113">
        <v>0</v>
      </c>
      <c r="BU113">
        <v>0</v>
      </c>
      <c r="BV113">
        <v>0</v>
      </c>
      <c r="BW113">
        <v>0</v>
      </c>
      <c r="CX113">
        <f>Y113*Source!I211</f>
        <v>0</v>
      </c>
      <c r="CY113">
        <f t="shared" si="18"/>
        <v>47880</v>
      </c>
      <c r="CZ113">
        <f t="shared" si="19"/>
        <v>6521.42</v>
      </c>
      <c r="DA113">
        <f t="shared" si="20"/>
        <v>7.32</v>
      </c>
      <c r="DB113">
        <v>0</v>
      </c>
    </row>
    <row r="114" spans="1:106" x14ac:dyDescent="0.2">
      <c r="A114">
        <f>ROW(Source!A211)</f>
        <v>211</v>
      </c>
      <c r="B114">
        <v>90163004</v>
      </c>
      <c r="C114">
        <v>90164069</v>
      </c>
      <c r="D114">
        <v>7233230</v>
      </c>
      <c r="E114">
        <v>1</v>
      </c>
      <c r="F114">
        <v>1</v>
      </c>
      <c r="G114">
        <v>7157832</v>
      </c>
      <c r="H114">
        <v>3</v>
      </c>
      <c r="I114" t="s">
        <v>328</v>
      </c>
      <c r="J114" t="s">
        <v>329</v>
      </c>
      <c r="K114" t="s">
        <v>330</v>
      </c>
      <c r="L114">
        <v>1348</v>
      </c>
      <c r="N114">
        <v>1009</v>
      </c>
      <c r="O114" t="s">
        <v>39</v>
      </c>
      <c r="P114" t="s">
        <v>39</v>
      </c>
      <c r="Q114">
        <v>1000</v>
      </c>
      <c r="W114">
        <v>0</v>
      </c>
      <c r="X114">
        <v>-918604120</v>
      </c>
      <c r="Y114">
        <v>0</v>
      </c>
      <c r="AA114">
        <v>79996.44</v>
      </c>
      <c r="AB114">
        <v>0</v>
      </c>
      <c r="AC114">
        <v>0</v>
      </c>
      <c r="AD114">
        <v>0</v>
      </c>
      <c r="AE114">
        <v>7191.81</v>
      </c>
      <c r="AF114">
        <v>0</v>
      </c>
      <c r="AG114">
        <v>0</v>
      </c>
      <c r="AH114">
        <v>0</v>
      </c>
      <c r="AI114">
        <v>11.09</v>
      </c>
      <c r="AJ114">
        <v>1</v>
      </c>
      <c r="AK114">
        <v>1</v>
      </c>
      <c r="AL114">
        <v>1</v>
      </c>
      <c r="AN114">
        <v>0</v>
      </c>
      <c r="AO114">
        <v>1</v>
      </c>
      <c r="AP114">
        <v>1</v>
      </c>
      <c r="AQ114">
        <v>0</v>
      </c>
      <c r="AR114">
        <v>0</v>
      </c>
      <c r="AS114" t="s">
        <v>3</v>
      </c>
      <c r="AT114">
        <v>2.75E-2</v>
      </c>
      <c r="AU114" t="s">
        <v>164</v>
      </c>
      <c r="AV114">
        <v>0</v>
      </c>
      <c r="AW114">
        <v>2</v>
      </c>
      <c r="AX114">
        <v>90164092</v>
      </c>
      <c r="AY114">
        <v>1</v>
      </c>
      <c r="AZ114">
        <v>0</v>
      </c>
      <c r="BA114">
        <v>109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  <c r="BS114">
        <v>0</v>
      </c>
      <c r="BT114">
        <v>0</v>
      </c>
      <c r="BU114">
        <v>0</v>
      </c>
      <c r="BV114">
        <v>0</v>
      </c>
      <c r="BW114">
        <v>0</v>
      </c>
      <c r="CX114">
        <f>Y114*Source!I211</f>
        <v>0</v>
      </c>
      <c r="CY114">
        <f t="shared" si="18"/>
        <v>79996.44</v>
      </c>
      <c r="CZ114">
        <f t="shared" si="19"/>
        <v>7191.81</v>
      </c>
      <c r="DA114">
        <f t="shared" si="20"/>
        <v>11.09</v>
      </c>
      <c r="DB114">
        <v>0</v>
      </c>
    </row>
    <row r="115" spans="1:106" x14ac:dyDescent="0.2">
      <c r="A115">
        <f>ROW(Source!A211)</f>
        <v>211</v>
      </c>
      <c r="B115">
        <v>90163004</v>
      </c>
      <c r="C115">
        <v>90164069</v>
      </c>
      <c r="D115">
        <v>7231936</v>
      </c>
      <c r="E115">
        <v>1</v>
      </c>
      <c r="F115">
        <v>1</v>
      </c>
      <c r="G115">
        <v>7157832</v>
      </c>
      <c r="H115">
        <v>3</v>
      </c>
      <c r="I115" t="s">
        <v>331</v>
      </c>
      <c r="J115" t="s">
        <v>332</v>
      </c>
      <c r="K115" t="s">
        <v>333</v>
      </c>
      <c r="L115">
        <v>1339</v>
      </c>
      <c r="N115">
        <v>1007</v>
      </c>
      <c r="O115" t="s">
        <v>30</v>
      </c>
      <c r="P115" t="s">
        <v>30</v>
      </c>
      <c r="Q115">
        <v>1</v>
      </c>
      <c r="W115">
        <v>0</v>
      </c>
      <c r="X115">
        <v>977517141</v>
      </c>
      <c r="Y115">
        <v>0</v>
      </c>
      <c r="AA115">
        <v>4530.09</v>
      </c>
      <c r="AB115">
        <v>0</v>
      </c>
      <c r="AC115">
        <v>0</v>
      </c>
      <c r="AD115">
        <v>0</v>
      </c>
      <c r="AE115">
        <v>1828.56</v>
      </c>
      <c r="AF115">
        <v>0</v>
      </c>
      <c r="AG115">
        <v>0</v>
      </c>
      <c r="AH115">
        <v>0</v>
      </c>
      <c r="AI115">
        <v>2.4700000000000002</v>
      </c>
      <c r="AJ115">
        <v>1</v>
      </c>
      <c r="AK115">
        <v>1</v>
      </c>
      <c r="AL115">
        <v>1</v>
      </c>
      <c r="AN115">
        <v>0</v>
      </c>
      <c r="AO115">
        <v>1</v>
      </c>
      <c r="AP115">
        <v>1</v>
      </c>
      <c r="AQ115">
        <v>0</v>
      </c>
      <c r="AR115">
        <v>0</v>
      </c>
      <c r="AS115" t="s">
        <v>3</v>
      </c>
      <c r="AT115">
        <v>0.3</v>
      </c>
      <c r="AU115" t="s">
        <v>164</v>
      </c>
      <c r="AV115">
        <v>0</v>
      </c>
      <c r="AW115">
        <v>2</v>
      </c>
      <c r="AX115">
        <v>90164093</v>
      </c>
      <c r="AY115">
        <v>1</v>
      </c>
      <c r="AZ115">
        <v>0</v>
      </c>
      <c r="BA115">
        <v>110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  <c r="BS115">
        <v>0</v>
      </c>
      <c r="BT115">
        <v>0</v>
      </c>
      <c r="BU115">
        <v>0</v>
      </c>
      <c r="BV115">
        <v>0</v>
      </c>
      <c r="BW115">
        <v>0</v>
      </c>
      <c r="CX115">
        <f>Y115*Source!I211</f>
        <v>0</v>
      </c>
      <c r="CY115">
        <f t="shared" si="18"/>
        <v>4530.09</v>
      </c>
      <c r="CZ115">
        <f t="shared" si="19"/>
        <v>1828.56</v>
      </c>
      <c r="DA115">
        <f t="shared" si="20"/>
        <v>2.4700000000000002</v>
      </c>
      <c r="DB115">
        <v>0</v>
      </c>
    </row>
    <row r="116" spans="1:106" x14ac:dyDescent="0.2">
      <c r="A116">
        <f>ROW(Source!A211)</f>
        <v>211</v>
      </c>
      <c r="B116">
        <v>90163004</v>
      </c>
      <c r="C116">
        <v>90164069</v>
      </c>
      <c r="D116">
        <v>7231762</v>
      </c>
      <c r="E116">
        <v>1</v>
      </c>
      <c r="F116">
        <v>1</v>
      </c>
      <c r="G116">
        <v>7157832</v>
      </c>
      <c r="H116">
        <v>3</v>
      </c>
      <c r="I116" t="s">
        <v>334</v>
      </c>
      <c r="J116" t="s">
        <v>335</v>
      </c>
      <c r="K116" t="s">
        <v>336</v>
      </c>
      <c r="L116">
        <v>1348</v>
      </c>
      <c r="N116">
        <v>1009</v>
      </c>
      <c r="O116" t="s">
        <v>39</v>
      </c>
      <c r="P116" t="s">
        <v>39</v>
      </c>
      <c r="Q116">
        <v>1000</v>
      </c>
      <c r="W116">
        <v>0</v>
      </c>
      <c r="X116">
        <v>14070571</v>
      </c>
      <c r="Y116">
        <v>0</v>
      </c>
      <c r="AA116">
        <v>15460.66</v>
      </c>
      <c r="AB116">
        <v>0</v>
      </c>
      <c r="AC116">
        <v>0</v>
      </c>
      <c r="AD116">
        <v>0</v>
      </c>
      <c r="AE116">
        <v>3806.03</v>
      </c>
      <c r="AF116">
        <v>0</v>
      </c>
      <c r="AG116">
        <v>0</v>
      </c>
      <c r="AH116">
        <v>0</v>
      </c>
      <c r="AI116">
        <v>4.05</v>
      </c>
      <c r="AJ116">
        <v>1</v>
      </c>
      <c r="AK116">
        <v>1</v>
      </c>
      <c r="AL116">
        <v>1</v>
      </c>
      <c r="AN116">
        <v>0</v>
      </c>
      <c r="AO116">
        <v>1</v>
      </c>
      <c r="AP116">
        <v>1</v>
      </c>
      <c r="AQ116">
        <v>0</v>
      </c>
      <c r="AR116">
        <v>0</v>
      </c>
      <c r="AS116" t="s">
        <v>3</v>
      </c>
      <c r="AT116">
        <v>0.84</v>
      </c>
      <c r="AU116" t="s">
        <v>164</v>
      </c>
      <c r="AV116">
        <v>0</v>
      </c>
      <c r="AW116">
        <v>2</v>
      </c>
      <c r="AX116">
        <v>90164094</v>
      </c>
      <c r="AY116">
        <v>1</v>
      </c>
      <c r="AZ116">
        <v>0</v>
      </c>
      <c r="BA116">
        <v>111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  <c r="BS116">
        <v>0</v>
      </c>
      <c r="BT116">
        <v>0</v>
      </c>
      <c r="BU116">
        <v>0</v>
      </c>
      <c r="BV116">
        <v>0</v>
      </c>
      <c r="BW116">
        <v>0</v>
      </c>
      <c r="CX116">
        <f>Y116*Source!I211</f>
        <v>0</v>
      </c>
      <c r="CY116">
        <f t="shared" si="18"/>
        <v>15460.66</v>
      </c>
      <c r="CZ116">
        <f t="shared" si="19"/>
        <v>3806.03</v>
      </c>
      <c r="DA116">
        <f t="shared" si="20"/>
        <v>4.05</v>
      </c>
      <c r="DB116">
        <v>0</v>
      </c>
    </row>
    <row r="117" spans="1:106" x14ac:dyDescent="0.2">
      <c r="A117">
        <f>ROW(Source!A211)</f>
        <v>211</v>
      </c>
      <c r="B117">
        <v>90163004</v>
      </c>
      <c r="C117">
        <v>90164069</v>
      </c>
      <c r="D117">
        <v>7239912</v>
      </c>
      <c r="E117">
        <v>1</v>
      </c>
      <c r="F117">
        <v>1</v>
      </c>
      <c r="G117">
        <v>7157832</v>
      </c>
      <c r="H117">
        <v>3</v>
      </c>
      <c r="I117" t="s">
        <v>337</v>
      </c>
      <c r="J117" t="s">
        <v>338</v>
      </c>
      <c r="K117" t="s">
        <v>339</v>
      </c>
      <c r="L117">
        <v>1327</v>
      </c>
      <c r="N117">
        <v>1005</v>
      </c>
      <c r="O117" t="s">
        <v>151</v>
      </c>
      <c r="P117" t="s">
        <v>151</v>
      </c>
      <c r="Q117">
        <v>1</v>
      </c>
      <c r="W117">
        <v>0</v>
      </c>
      <c r="X117">
        <v>71660933</v>
      </c>
      <c r="Y117">
        <v>0</v>
      </c>
      <c r="AA117">
        <v>443.96</v>
      </c>
      <c r="AB117">
        <v>0</v>
      </c>
      <c r="AC117">
        <v>0</v>
      </c>
      <c r="AD117">
        <v>0</v>
      </c>
      <c r="AE117">
        <v>90.15</v>
      </c>
      <c r="AF117">
        <v>0</v>
      </c>
      <c r="AG117">
        <v>0</v>
      </c>
      <c r="AH117">
        <v>0</v>
      </c>
      <c r="AI117">
        <v>4.91</v>
      </c>
      <c r="AJ117">
        <v>1</v>
      </c>
      <c r="AK117">
        <v>1</v>
      </c>
      <c r="AL117">
        <v>1</v>
      </c>
      <c r="AN117">
        <v>0</v>
      </c>
      <c r="AO117">
        <v>1</v>
      </c>
      <c r="AP117">
        <v>1</v>
      </c>
      <c r="AQ117">
        <v>0</v>
      </c>
      <c r="AR117">
        <v>0</v>
      </c>
      <c r="AS117" t="s">
        <v>3</v>
      </c>
      <c r="AT117">
        <v>9.1999999999999993</v>
      </c>
      <c r="AU117" t="s">
        <v>164</v>
      </c>
      <c r="AV117">
        <v>0</v>
      </c>
      <c r="AW117">
        <v>2</v>
      </c>
      <c r="AX117">
        <v>90164095</v>
      </c>
      <c r="AY117">
        <v>1</v>
      </c>
      <c r="AZ117">
        <v>0</v>
      </c>
      <c r="BA117">
        <v>112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0</v>
      </c>
      <c r="BW117">
        <v>0</v>
      </c>
      <c r="CX117">
        <f>Y117*Source!I211</f>
        <v>0</v>
      </c>
      <c r="CY117">
        <f t="shared" si="18"/>
        <v>443.96</v>
      </c>
      <c r="CZ117">
        <f t="shared" si="19"/>
        <v>90.15</v>
      </c>
      <c r="DA117">
        <f t="shared" si="20"/>
        <v>4.91</v>
      </c>
      <c r="DB117">
        <v>0</v>
      </c>
    </row>
    <row r="118" spans="1:106" x14ac:dyDescent="0.2">
      <c r="A118">
        <f>ROW(Source!A211)</f>
        <v>211</v>
      </c>
      <c r="B118">
        <v>90163004</v>
      </c>
      <c r="C118">
        <v>90164069</v>
      </c>
      <c r="D118">
        <v>20685154</v>
      </c>
      <c r="E118">
        <v>7157832</v>
      </c>
      <c r="F118">
        <v>1</v>
      </c>
      <c r="G118">
        <v>7157832</v>
      </c>
      <c r="H118">
        <v>3</v>
      </c>
      <c r="I118" t="s">
        <v>340</v>
      </c>
      <c r="J118" t="s">
        <v>3</v>
      </c>
      <c r="K118" t="s">
        <v>341</v>
      </c>
      <c r="L118">
        <v>1354</v>
      </c>
      <c r="N118">
        <v>16987630</v>
      </c>
      <c r="O118" t="s">
        <v>342</v>
      </c>
      <c r="P118" t="s">
        <v>342</v>
      </c>
      <c r="Q118">
        <v>1</v>
      </c>
      <c r="W118">
        <v>0</v>
      </c>
      <c r="X118">
        <v>-414415207</v>
      </c>
      <c r="Y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1</v>
      </c>
      <c r="AJ118">
        <v>1</v>
      </c>
      <c r="AK118">
        <v>1</v>
      </c>
      <c r="AL118">
        <v>1</v>
      </c>
      <c r="AN118">
        <v>0</v>
      </c>
      <c r="AO118">
        <v>0</v>
      </c>
      <c r="AP118">
        <v>1</v>
      </c>
      <c r="AQ118">
        <v>0</v>
      </c>
      <c r="AR118">
        <v>0</v>
      </c>
      <c r="AS118" t="s">
        <v>3</v>
      </c>
      <c r="AT118">
        <v>14</v>
      </c>
      <c r="AU118" t="s">
        <v>164</v>
      </c>
      <c r="AV118">
        <v>0</v>
      </c>
      <c r="AW118">
        <v>2</v>
      </c>
      <c r="AX118">
        <v>90164096</v>
      </c>
      <c r="AY118">
        <v>1</v>
      </c>
      <c r="AZ118">
        <v>0</v>
      </c>
      <c r="BA118">
        <v>113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CX118">
        <f>Y118*Source!I211</f>
        <v>0</v>
      </c>
      <c r="CY118">
        <f t="shared" si="18"/>
        <v>0</v>
      </c>
      <c r="CZ118">
        <f t="shared" si="19"/>
        <v>0</v>
      </c>
      <c r="DA118">
        <f t="shared" si="20"/>
        <v>1</v>
      </c>
      <c r="DB118">
        <v>0</v>
      </c>
    </row>
    <row r="119" spans="1:106" x14ac:dyDescent="0.2">
      <c r="A119">
        <f>ROW(Source!A211)</f>
        <v>211</v>
      </c>
      <c r="B119">
        <v>90163004</v>
      </c>
      <c r="C119">
        <v>90164069</v>
      </c>
      <c r="D119">
        <v>7178521</v>
      </c>
      <c r="E119">
        <v>7157832</v>
      </c>
      <c r="F119">
        <v>1</v>
      </c>
      <c r="G119">
        <v>7157832</v>
      </c>
      <c r="H119">
        <v>3</v>
      </c>
      <c r="I119" t="s">
        <v>343</v>
      </c>
      <c r="J119" t="s">
        <v>3</v>
      </c>
      <c r="K119" t="s">
        <v>344</v>
      </c>
      <c r="L119">
        <v>1339</v>
      </c>
      <c r="N119">
        <v>1007</v>
      </c>
      <c r="O119" t="s">
        <v>30</v>
      </c>
      <c r="P119" t="s">
        <v>30</v>
      </c>
      <c r="Q119">
        <v>1</v>
      </c>
      <c r="W119">
        <v>0</v>
      </c>
      <c r="X119">
        <v>-1175628335</v>
      </c>
      <c r="Y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1</v>
      </c>
      <c r="AJ119">
        <v>1</v>
      </c>
      <c r="AK119">
        <v>1</v>
      </c>
      <c r="AL119">
        <v>1</v>
      </c>
      <c r="AN119">
        <v>0</v>
      </c>
      <c r="AO119">
        <v>0</v>
      </c>
      <c r="AP119">
        <v>1</v>
      </c>
      <c r="AQ119">
        <v>0</v>
      </c>
      <c r="AR119">
        <v>0</v>
      </c>
      <c r="AS119" t="s">
        <v>3</v>
      </c>
      <c r="AT119">
        <v>51.8</v>
      </c>
      <c r="AU119" t="s">
        <v>164</v>
      </c>
      <c r="AV119">
        <v>0</v>
      </c>
      <c r="AW119">
        <v>2</v>
      </c>
      <c r="AX119">
        <v>90164097</v>
      </c>
      <c r="AY119">
        <v>1</v>
      </c>
      <c r="AZ119">
        <v>0</v>
      </c>
      <c r="BA119">
        <v>114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CX119">
        <f>Y119*Source!I211</f>
        <v>0</v>
      </c>
      <c r="CY119">
        <f t="shared" si="18"/>
        <v>0</v>
      </c>
      <c r="CZ119">
        <f t="shared" si="19"/>
        <v>0</v>
      </c>
      <c r="DA119">
        <f t="shared" si="20"/>
        <v>1</v>
      </c>
      <c r="DB119">
        <v>0</v>
      </c>
    </row>
    <row r="120" spans="1:106" x14ac:dyDescent="0.2">
      <c r="A120">
        <f>ROW(Source!A211)</f>
        <v>211</v>
      </c>
      <c r="B120">
        <v>90163004</v>
      </c>
      <c r="C120">
        <v>90164069</v>
      </c>
      <c r="D120">
        <v>7178714</v>
      </c>
      <c r="E120">
        <v>7157832</v>
      </c>
      <c r="F120">
        <v>1</v>
      </c>
      <c r="G120">
        <v>7157832</v>
      </c>
      <c r="H120">
        <v>3</v>
      </c>
      <c r="I120" t="s">
        <v>345</v>
      </c>
      <c r="J120" t="s">
        <v>3</v>
      </c>
      <c r="K120" t="s">
        <v>346</v>
      </c>
      <c r="L120">
        <v>1339</v>
      </c>
      <c r="N120">
        <v>1007</v>
      </c>
      <c r="O120" t="s">
        <v>30</v>
      </c>
      <c r="P120" t="s">
        <v>30</v>
      </c>
      <c r="Q120">
        <v>1</v>
      </c>
      <c r="W120">
        <v>0</v>
      </c>
      <c r="X120">
        <v>2002443370</v>
      </c>
      <c r="Y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1</v>
      </c>
      <c r="AJ120">
        <v>1</v>
      </c>
      <c r="AK120">
        <v>1</v>
      </c>
      <c r="AL120">
        <v>1</v>
      </c>
      <c r="AN120">
        <v>0</v>
      </c>
      <c r="AO120">
        <v>0</v>
      </c>
      <c r="AP120">
        <v>1</v>
      </c>
      <c r="AQ120">
        <v>0</v>
      </c>
      <c r="AR120">
        <v>0</v>
      </c>
      <c r="AS120" t="s">
        <v>3</v>
      </c>
      <c r="AT120">
        <v>2.9</v>
      </c>
      <c r="AU120" t="s">
        <v>164</v>
      </c>
      <c r="AV120">
        <v>0</v>
      </c>
      <c r="AW120">
        <v>2</v>
      </c>
      <c r="AX120">
        <v>90164098</v>
      </c>
      <c r="AY120">
        <v>1</v>
      </c>
      <c r="AZ120">
        <v>0</v>
      </c>
      <c r="BA120">
        <v>115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CX120">
        <f>Y120*Source!I211</f>
        <v>0</v>
      </c>
      <c r="CY120">
        <f t="shared" si="18"/>
        <v>0</v>
      </c>
      <c r="CZ120">
        <f t="shared" si="19"/>
        <v>0</v>
      </c>
      <c r="DA120">
        <f t="shared" si="20"/>
        <v>1</v>
      </c>
      <c r="DB120">
        <v>0</v>
      </c>
    </row>
    <row r="121" spans="1:106" x14ac:dyDescent="0.2">
      <c r="A121">
        <f>ROW(Source!A211)</f>
        <v>211</v>
      </c>
      <c r="B121">
        <v>90163004</v>
      </c>
      <c r="C121">
        <v>90164069</v>
      </c>
      <c r="D121">
        <v>7181116</v>
      </c>
      <c r="E121">
        <v>7157832</v>
      </c>
      <c r="F121">
        <v>1</v>
      </c>
      <c r="G121">
        <v>7157832</v>
      </c>
      <c r="H121">
        <v>3</v>
      </c>
      <c r="I121" t="s">
        <v>347</v>
      </c>
      <c r="J121" t="s">
        <v>3</v>
      </c>
      <c r="K121" t="s">
        <v>348</v>
      </c>
      <c r="L121">
        <v>1339</v>
      </c>
      <c r="N121">
        <v>1007</v>
      </c>
      <c r="O121" t="s">
        <v>30</v>
      </c>
      <c r="P121" t="s">
        <v>30</v>
      </c>
      <c r="Q121">
        <v>1</v>
      </c>
      <c r="W121">
        <v>0</v>
      </c>
      <c r="X121">
        <v>-907671549</v>
      </c>
      <c r="Y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1</v>
      </c>
      <c r="AJ121">
        <v>1</v>
      </c>
      <c r="AK121">
        <v>1</v>
      </c>
      <c r="AL121">
        <v>1</v>
      </c>
      <c r="AN121">
        <v>0</v>
      </c>
      <c r="AO121">
        <v>0</v>
      </c>
      <c r="AP121">
        <v>1</v>
      </c>
      <c r="AQ121">
        <v>0</v>
      </c>
      <c r="AR121">
        <v>0</v>
      </c>
      <c r="AS121" t="s">
        <v>3</v>
      </c>
      <c r="AT121">
        <v>52.8</v>
      </c>
      <c r="AU121" t="s">
        <v>164</v>
      </c>
      <c r="AV121">
        <v>0</v>
      </c>
      <c r="AW121">
        <v>2</v>
      </c>
      <c r="AX121">
        <v>90164099</v>
      </c>
      <c r="AY121">
        <v>1</v>
      </c>
      <c r="AZ121">
        <v>0</v>
      </c>
      <c r="BA121">
        <v>116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CX121">
        <f>Y121*Source!I211</f>
        <v>0</v>
      </c>
      <c r="CY121">
        <f t="shared" si="18"/>
        <v>0</v>
      </c>
      <c r="CZ121">
        <f t="shared" si="19"/>
        <v>0</v>
      </c>
      <c r="DA121">
        <f t="shared" si="20"/>
        <v>1</v>
      </c>
      <c r="DB121">
        <v>0</v>
      </c>
    </row>
    <row r="122" spans="1:106" x14ac:dyDescent="0.2">
      <c r="A122">
        <f>ROW(Source!A212)</f>
        <v>212</v>
      </c>
      <c r="B122">
        <v>90163004</v>
      </c>
      <c r="C122">
        <v>90164100</v>
      </c>
      <c r="D122">
        <v>7159942</v>
      </c>
      <c r="E122">
        <v>7157832</v>
      </c>
      <c r="F122">
        <v>1</v>
      </c>
      <c r="G122">
        <v>7157832</v>
      </c>
      <c r="H122">
        <v>2</v>
      </c>
      <c r="I122" t="s">
        <v>279</v>
      </c>
      <c r="J122" t="s">
        <v>3</v>
      </c>
      <c r="K122" t="s">
        <v>280</v>
      </c>
      <c r="L122">
        <v>1344</v>
      </c>
      <c r="N122">
        <v>1008</v>
      </c>
      <c r="O122" t="s">
        <v>281</v>
      </c>
      <c r="P122" t="s">
        <v>281</v>
      </c>
      <c r="Q122">
        <v>1</v>
      </c>
      <c r="W122">
        <v>0</v>
      </c>
      <c r="X122">
        <v>-450565604</v>
      </c>
      <c r="Y122">
        <v>9.7460000000000004</v>
      </c>
      <c r="AA122">
        <v>0</v>
      </c>
      <c r="AB122">
        <v>1.05</v>
      </c>
      <c r="AC122">
        <v>0</v>
      </c>
      <c r="AD122">
        <v>0</v>
      </c>
      <c r="AE122">
        <v>0</v>
      </c>
      <c r="AF122">
        <v>1</v>
      </c>
      <c r="AG122">
        <v>0</v>
      </c>
      <c r="AH122">
        <v>0</v>
      </c>
      <c r="AI122">
        <v>1</v>
      </c>
      <c r="AJ122">
        <v>1</v>
      </c>
      <c r="AK122">
        <v>1</v>
      </c>
      <c r="AL122">
        <v>1</v>
      </c>
      <c r="AN122">
        <v>0</v>
      </c>
      <c r="AO122">
        <v>1</v>
      </c>
      <c r="AP122">
        <v>1</v>
      </c>
      <c r="AQ122">
        <v>0</v>
      </c>
      <c r="AR122">
        <v>0</v>
      </c>
      <c r="AS122" t="s">
        <v>3</v>
      </c>
      <c r="AT122">
        <v>8.86</v>
      </c>
      <c r="AU122" t="s">
        <v>172</v>
      </c>
      <c r="AV122">
        <v>0</v>
      </c>
      <c r="AW122">
        <v>2</v>
      </c>
      <c r="AX122">
        <v>90164102</v>
      </c>
      <c r="AY122">
        <v>1</v>
      </c>
      <c r="AZ122">
        <v>0</v>
      </c>
      <c r="BA122">
        <v>117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CX122">
        <f>Y122*Source!I212</f>
        <v>1457.0464920000002</v>
      </c>
      <c r="CY122">
        <f>AB122</f>
        <v>1.05</v>
      </c>
      <c r="CZ122">
        <f>AF122</f>
        <v>1</v>
      </c>
      <c r="DA122">
        <f>AJ122</f>
        <v>1</v>
      </c>
      <c r="DB122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7"/>
  <sheetViews>
    <sheetView workbookViewId="0"/>
  </sheetViews>
  <sheetFormatPr defaultRowHeight="12.75" x14ac:dyDescent="0.2"/>
  <sheetData>
    <row r="1" spans="1:44" x14ac:dyDescent="0.2">
      <c r="A1">
        <f>ROW(Source!A28)</f>
        <v>28</v>
      </c>
      <c r="B1">
        <v>90163313</v>
      </c>
      <c r="C1">
        <v>90163308</v>
      </c>
      <c r="D1">
        <v>7182702</v>
      </c>
      <c r="E1">
        <v>7157832</v>
      </c>
      <c r="F1">
        <v>1</v>
      </c>
      <c r="G1">
        <v>7157832</v>
      </c>
      <c r="H1">
        <v>3</v>
      </c>
      <c r="I1" t="s">
        <v>37</v>
      </c>
      <c r="J1" t="s">
        <v>3</v>
      </c>
      <c r="K1" t="s">
        <v>38</v>
      </c>
      <c r="L1">
        <v>1348</v>
      </c>
      <c r="N1">
        <v>1009</v>
      </c>
      <c r="O1" t="s">
        <v>39</v>
      </c>
      <c r="P1" t="s">
        <v>39</v>
      </c>
      <c r="Q1">
        <v>1000</v>
      </c>
      <c r="X1">
        <v>4.2854000000000001</v>
      </c>
      <c r="Y1">
        <v>0</v>
      </c>
      <c r="Z1">
        <v>0</v>
      </c>
      <c r="AA1">
        <v>0</v>
      </c>
      <c r="AB1">
        <v>0</v>
      </c>
      <c r="AC1">
        <v>0</v>
      </c>
      <c r="AD1">
        <v>1</v>
      </c>
      <c r="AE1">
        <v>0</v>
      </c>
      <c r="AF1" t="s">
        <v>21</v>
      </c>
      <c r="AG1">
        <v>3.7025855999999999</v>
      </c>
      <c r="AH1">
        <v>2</v>
      </c>
      <c r="AI1">
        <v>90163309</v>
      </c>
      <c r="AJ1">
        <v>1</v>
      </c>
      <c r="AK1">
        <v>0</v>
      </c>
      <c r="AL1">
        <v>0</v>
      </c>
      <c r="AM1">
        <v>0</v>
      </c>
      <c r="AN1">
        <v>0</v>
      </c>
      <c r="AO1">
        <v>0</v>
      </c>
      <c r="AP1">
        <v>0</v>
      </c>
      <c r="AQ1">
        <v>0</v>
      </c>
      <c r="AR1">
        <v>0</v>
      </c>
    </row>
    <row r="2" spans="1:44" x14ac:dyDescent="0.2">
      <c r="A2">
        <f>ROW(Source!A28)</f>
        <v>28</v>
      </c>
      <c r="B2">
        <v>90163314</v>
      </c>
      <c r="C2">
        <v>90163308</v>
      </c>
      <c r="D2">
        <v>7182705</v>
      </c>
      <c r="E2">
        <v>7157832</v>
      </c>
      <c r="F2">
        <v>1</v>
      </c>
      <c r="G2">
        <v>7157832</v>
      </c>
      <c r="H2">
        <v>3</v>
      </c>
      <c r="I2" t="s">
        <v>37</v>
      </c>
      <c r="J2" t="s">
        <v>3</v>
      </c>
      <c r="K2" t="s">
        <v>41</v>
      </c>
      <c r="L2">
        <v>1339</v>
      </c>
      <c r="N2">
        <v>1007</v>
      </c>
      <c r="O2" t="s">
        <v>30</v>
      </c>
      <c r="P2" t="s">
        <v>30</v>
      </c>
      <c r="Q2">
        <v>1</v>
      </c>
      <c r="X2">
        <v>11.657</v>
      </c>
      <c r="Y2">
        <v>0</v>
      </c>
      <c r="Z2">
        <v>0</v>
      </c>
      <c r="AA2">
        <v>0</v>
      </c>
      <c r="AB2">
        <v>0</v>
      </c>
      <c r="AC2">
        <v>0</v>
      </c>
      <c r="AD2">
        <v>1</v>
      </c>
      <c r="AE2">
        <v>0</v>
      </c>
      <c r="AF2" t="s">
        <v>21</v>
      </c>
      <c r="AG2">
        <v>10.071648</v>
      </c>
      <c r="AH2">
        <v>2</v>
      </c>
      <c r="AI2">
        <v>90163310</v>
      </c>
      <c r="AJ2">
        <v>2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</row>
    <row r="3" spans="1:44" x14ac:dyDescent="0.2">
      <c r="A3">
        <f>ROW(Source!A33)</f>
        <v>33</v>
      </c>
      <c r="B3">
        <v>90163323</v>
      </c>
      <c r="C3">
        <v>90163319</v>
      </c>
      <c r="D3">
        <v>7157835</v>
      </c>
      <c r="E3">
        <v>7157832</v>
      </c>
      <c r="F3">
        <v>1</v>
      </c>
      <c r="G3">
        <v>7157832</v>
      </c>
      <c r="H3">
        <v>1</v>
      </c>
      <c r="I3" t="s">
        <v>276</v>
      </c>
      <c r="J3" t="s">
        <v>3</v>
      </c>
      <c r="K3" t="s">
        <v>277</v>
      </c>
      <c r="L3">
        <v>1191</v>
      </c>
      <c r="N3">
        <v>1013</v>
      </c>
      <c r="O3" t="s">
        <v>278</v>
      </c>
      <c r="P3" t="s">
        <v>278</v>
      </c>
      <c r="Q3">
        <v>1</v>
      </c>
      <c r="X3">
        <v>2.79</v>
      </c>
      <c r="Y3">
        <v>0</v>
      </c>
      <c r="Z3">
        <v>0</v>
      </c>
      <c r="AA3">
        <v>0</v>
      </c>
      <c r="AB3">
        <v>0</v>
      </c>
      <c r="AC3">
        <v>0</v>
      </c>
      <c r="AD3">
        <v>1</v>
      </c>
      <c r="AE3">
        <v>1</v>
      </c>
      <c r="AF3" t="s">
        <v>47</v>
      </c>
      <c r="AG3">
        <v>3.2084999999999999</v>
      </c>
      <c r="AH3">
        <v>2</v>
      </c>
      <c r="AI3">
        <v>90163320</v>
      </c>
      <c r="AJ3">
        <v>5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</row>
    <row r="4" spans="1:44" x14ac:dyDescent="0.2">
      <c r="A4">
        <f>ROW(Source!A33)</f>
        <v>33</v>
      </c>
      <c r="B4">
        <v>90163324</v>
      </c>
      <c r="C4">
        <v>90163319</v>
      </c>
      <c r="D4">
        <v>7159942</v>
      </c>
      <c r="E4">
        <v>7157832</v>
      </c>
      <c r="F4">
        <v>1</v>
      </c>
      <c r="G4">
        <v>7157832</v>
      </c>
      <c r="H4">
        <v>2</v>
      </c>
      <c r="I4" t="s">
        <v>279</v>
      </c>
      <c r="J4" t="s">
        <v>3</v>
      </c>
      <c r="K4" t="s">
        <v>280</v>
      </c>
      <c r="L4">
        <v>1344</v>
      </c>
      <c r="N4">
        <v>1008</v>
      </c>
      <c r="O4" t="s">
        <v>281</v>
      </c>
      <c r="P4" t="s">
        <v>281</v>
      </c>
      <c r="Q4">
        <v>1</v>
      </c>
      <c r="X4">
        <v>45.14</v>
      </c>
      <c r="Y4">
        <v>0</v>
      </c>
      <c r="Z4">
        <v>1</v>
      </c>
      <c r="AA4">
        <v>0</v>
      </c>
      <c r="AB4">
        <v>0</v>
      </c>
      <c r="AC4">
        <v>0</v>
      </c>
      <c r="AD4">
        <v>1</v>
      </c>
      <c r="AE4">
        <v>0</v>
      </c>
      <c r="AF4" t="s">
        <v>47</v>
      </c>
      <c r="AG4">
        <v>51.910999999999994</v>
      </c>
      <c r="AH4">
        <v>2</v>
      </c>
      <c r="AI4">
        <v>90163321</v>
      </c>
      <c r="AJ4">
        <v>6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</row>
    <row r="5" spans="1:44" x14ac:dyDescent="0.2">
      <c r="A5">
        <f>ROW(Source!A33)</f>
        <v>33</v>
      </c>
      <c r="B5">
        <v>90163325</v>
      </c>
      <c r="C5">
        <v>90163319</v>
      </c>
      <c r="D5">
        <v>7182707</v>
      </c>
      <c r="E5">
        <v>7157832</v>
      </c>
      <c r="F5">
        <v>1</v>
      </c>
      <c r="G5">
        <v>7157832</v>
      </c>
      <c r="H5">
        <v>3</v>
      </c>
      <c r="I5" t="s">
        <v>37</v>
      </c>
      <c r="J5" t="s">
        <v>3</v>
      </c>
      <c r="K5" t="s">
        <v>282</v>
      </c>
      <c r="L5">
        <v>1344</v>
      </c>
      <c r="N5">
        <v>1008</v>
      </c>
      <c r="O5" t="s">
        <v>281</v>
      </c>
      <c r="P5" t="s">
        <v>281</v>
      </c>
      <c r="Q5">
        <v>1</v>
      </c>
      <c r="X5">
        <v>32.4</v>
      </c>
      <c r="Y5">
        <v>1</v>
      </c>
      <c r="Z5">
        <v>0</v>
      </c>
      <c r="AA5">
        <v>0</v>
      </c>
      <c r="AB5">
        <v>0</v>
      </c>
      <c r="AC5">
        <v>0</v>
      </c>
      <c r="AD5">
        <v>1</v>
      </c>
      <c r="AE5">
        <v>0</v>
      </c>
      <c r="AF5" t="s">
        <v>3</v>
      </c>
      <c r="AG5">
        <v>32.4</v>
      </c>
      <c r="AH5">
        <v>2</v>
      </c>
      <c r="AI5">
        <v>90163322</v>
      </c>
      <c r="AJ5">
        <v>7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</row>
    <row r="6" spans="1:44" x14ac:dyDescent="0.2">
      <c r="A6">
        <f>ROW(Source!A34)</f>
        <v>34</v>
      </c>
      <c r="B6">
        <v>90165055</v>
      </c>
      <c r="C6">
        <v>90163326</v>
      </c>
      <c r="D6">
        <v>7157835</v>
      </c>
      <c r="E6">
        <v>7157832</v>
      </c>
      <c r="F6">
        <v>1</v>
      </c>
      <c r="G6">
        <v>7157832</v>
      </c>
      <c r="H6">
        <v>1</v>
      </c>
      <c r="I6" t="s">
        <v>276</v>
      </c>
      <c r="J6" t="s">
        <v>3</v>
      </c>
      <c r="K6" t="s">
        <v>277</v>
      </c>
      <c r="L6">
        <v>1191</v>
      </c>
      <c r="N6">
        <v>1013</v>
      </c>
      <c r="O6" t="s">
        <v>278</v>
      </c>
      <c r="P6" t="s">
        <v>278</v>
      </c>
      <c r="Q6">
        <v>1</v>
      </c>
      <c r="X6">
        <v>16.2</v>
      </c>
      <c r="Y6">
        <v>0</v>
      </c>
      <c r="Z6">
        <v>0</v>
      </c>
      <c r="AA6">
        <v>0</v>
      </c>
      <c r="AB6">
        <v>0</v>
      </c>
      <c r="AC6">
        <v>0</v>
      </c>
      <c r="AD6">
        <v>1</v>
      </c>
      <c r="AE6">
        <v>1</v>
      </c>
      <c r="AF6" t="s">
        <v>47</v>
      </c>
      <c r="AG6">
        <v>18.63</v>
      </c>
      <c r="AH6">
        <v>2</v>
      </c>
      <c r="AI6">
        <v>90165055</v>
      </c>
      <c r="AJ6">
        <v>8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</row>
    <row r="7" spans="1:44" x14ac:dyDescent="0.2">
      <c r="A7">
        <f>ROW(Source!A34)</f>
        <v>34</v>
      </c>
      <c r="B7">
        <v>90165056</v>
      </c>
      <c r="C7">
        <v>90163326</v>
      </c>
      <c r="D7">
        <v>7231136</v>
      </c>
      <c r="E7">
        <v>1</v>
      </c>
      <c r="F7">
        <v>1</v>
      </c>
      <c r="G7">
        <v>7157832</v>
      </c>
      <c r="H7">
        <v>2</v>
      </c>
      <c r="I7" t="s">
        <v>283</v>
      </c>
      <c r="J7" t="s">
        <v>284</v>
      </c>
      <c r="K7" t="s">
        <v>285</v>
      </c>
      <c r="L7">
        <v>1368</v>
      </c>
      <c r="N7">
        <v>1011</v>
      </c>
      <c r="O7" t="s">
        <v>286</v>
      </c>
      <c r="P7" t="s">
        <v>286</v>
      </c>
      <c r="Q7">
        <v>1</v>
      </c>
      <c r="X7">
        <v>0.28000000000000003</v>
      </c>
      <c r="Y7">
        <v>0</v>
      </c>
      <c r="Z7">
        <v>4.71</v>
      </c>
      <c r="AA7">
        <v>0.04</v>
      </c>
      <c r="AB7">
        <v>0</v>
      </c>
      <c r="AC7">
        <v>0</v>
      </c>
      <c r="AD7">
        <v>1</v>
      </c>
      <c r="AE7">
        <v>0</v>
      </c>
      <c r="AF7" t="s">
        <v>47</v>
      </c>
      <c r="AG7">
        <v>0.32200000000000001</v>
      </c>
      <c r="AH7">
        <v>2</v>
      </c>
      <c r="AI7">
        <v>90165056</v>
      </c>
      <c r="AJ7">
        <v>9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</row>
    <row r="8" spans="1:44" x14ac:dyDescent="0.2">
      <c r="A8">
        <f>ROW(Source!A34)</f>
        <v>34</v>
      </c>
      <c r="B8">
        <v>90165057</v>
      </c>
      <c r="C8">
        <v>90163326</v>
      </c>
      <c r="D8">
        <v>7231215</v>
      </c>
      <c r="E8">
        <v>1</v>
      </c>
      <c r="F8">
        <v>1</v>
      </c>
      <c r="G8">
        <v>7157832</v>
      </c>
      <c r="H8">
        <v>2</v>
      </c>
      <c r="I8" t="s">
        <v>287</v>
      </c>
      <c r="J8" t="s">
        <v>288</v>
      </c>
      <c r="K8" t="s">
        <v>289</v>
      </c>
      <c r="L8">
        <v>1368</v>
      </c>
      <c r="N8">
        <v>1011</v>
      </c>
      <c r="O8" t="s">
        <v>286</v>
      </c>
      <c r="P8" t="s">
        <v>286</v>
      </c>
      <c r="Q8">
        <v>1</v>
      </c>
      <c r="X8">
        <v>0.78</v>
      </c>
      <c r="Y8">
        <v>0</v>
      </c>
      <c r="Z8">
        <v>43.4</v>
      </c>
      <c r="AA8">
        <v>2.68</v>
      </c>
      <c r="AB8">
        <v>0</v>
      </c>
      <c r="AC8">
        <v>0</v>
      </c>
      <c r="AD8">
        <v>1</v>
      </c>
      <c r="AE8">
        <v>0</v>
      </c>
      <c r="AF8" t="s">
        <v>47</v>
      </c>
      <c r="AG8">
        <v>0.89699999999999991</v>
      </c>
      <c r="AH8">
        <v>2</v>
      </c>
      <c r="AI8">
        <v>90165057</v>
      </c>
      <c r="AJ8">
        <v>10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</row>
    <row r="9" spans="1:44" x14ac:dyDescent="0.2">
      <c r="A9">
        <f>ROW(Source!A34)</f>
        <v>34</v>
      </c>
      <c r="B9">
        <v>90165058</v>
      </c>
      <c r="C9">
        <v>90163326</v>
      </c>
      <c r="D9">
        <v>7231377</v>
      </c>
      <c r="E9">
        <v>1</v>
      </c>
      <c r="F9">
        <v>1</v>
      </c>
      <c r="G9">
        <v>7157832</v>
      </c>
      <c r="H9">
        <v>2</v>
      </c>
      <c r="I9" t="s">
        <v>290</v>
      </c>
      <c r="J9" t="s">
        <v>291</v>
      </c>
      <c r="K9" t="s">
        <v>292</v>
      </c>
      <c r="L9">
        <v>1368</v>
      </c>
      <c r="N9">
        <v>1011</v>
      </c>
      <c r="O9" t="s">
        <v>286</v>
      </c>
      <c r="P9" t="s">
        <v>286</v>
      </c>
      <c r="Q9">
        <v>1</v>
      </c>
      <c r="X9">
        <v>0.28000000000000003</v>
      </c>
      <c r="Y9">
        <v>0</v>
      </c>
      <c r="Z9">
        <v>3.71</v>
      </c>
      <c r="AA9">
        <v>0.18</v>
      </c>
      <c r="AB9">
        <v>0</v>
      </c>
      <c r="AC9">
        <v>0</v>
      </c>
      <c r="AD9">
        <v>1</v>
      </c>
      <c r="AE9">
        <v>0</v>
      </c>
      <c r="AF9" t="s">
        <v>47</v>
      </c>
      <c r="AG9">
        <v>0.32200000000000001</v>
      </c>
      <c r="AH9">
        <v>2</v>
      </c>
      <c r="AI9">
        <v>90165058</v>
      </c>
      <c r="AJ9">
        <v>11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</row>
    <row r="10" spans="1:44" x14ac:dyDescent="0.2">
      <c r="A10">
        <f>ROW(Source!A34)</f>
        <v>34</v>
      </c>
      <c r="B10">
        <v>90165059</v>
      </c>
      <c r="C10">
        <v>90163326</v>
      </c>
      <c r="D10">
        <v>7231421</v>
      </c>
      <c r="E10">
        <v>1</v>
      </c>
      <c r="F10">
        <v>1</v>
      </c>
      <c r="G10">
        <v>7157832</v>
      </c>
      <c r="H10">
        <v>2</v>
      </c>
      <c r="I10" t="s">
        <v>293</v>
      </c>
      <c r="J10" t="s">
        <v>294</v>
      </c>
      <c r="K10" t="s">
        <v>295</v>
      </c>
      <c r="L10">
        <v>1368</v>
      </c>
      <c r="N10">
        <v>1011</v>
      </c>
      <c r="O10" t="s">
        <v>286</v>
      </c>
      <c r="P10" t="s">
        <v>286</v>
      </c>
      <c r="Q10">
        <v>1</v>
      </c>
      <c r="X10">
        <v>0.5</v>
      </c>
      <c r="Y10">
        <v>0</v>
      </c>
      <c r="Z10">
        <v>74.44</v>
      </c>
      <c r="AA10">
        <v>17.59</v>
      </c>
      <c r="AB10">
        <v>0</v>
      </c>
      <c r="AC10">
        <v>0</v>
      </c>
      <c r="AD10">
        <v>1</v>
      </c>
      <c r="AE10">
        <v>0</v>
      </c>
      <c r="AF10" t="s">
        <v>47</v>
      </c>
      <c r="AG10">
        <v>0.57499999999999996</v>
      </c>
      <c r="AH10">
        <v>2</v>
      </c>
      <c r="AI10">
        <v>90165059</v>
      </c>
      <c r="AJ10">
        <v>12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</row>
    <row r="11" spans="1:44" x14ac:dyDescent="0.2">
      <c r="A11">
        <f>ROW(Source!A34)</f>
        <v>34</v>
      </c>
      <c r="B11">
        <v>90165060</v>
      </c>
      <c r="C11">
        <v>90163326</v>
      </c>
      <c r="D11">
        <v>7231445</v>
      </c>
      <c r="E11">
        <v>1</v>
      </c>
      <c r="F11">
        <v>1</v>
      </c>
      <c r="G11">
        <v>7157832</v>
      </c>
      <c r="H11">
        <v>2</v>
      </c>
      <c r="I11" t="s">
        <v>296</v>
      </c>
      <c r="J11" t="s">
        <v>297</v>
      </c>
      <c r="K11" t="s">
        <v>298</v>
      </c>
      <c r="L11">
        <v>1368</v>
      </c>
      <c r="N11">
        <v>1011</v>
      </c>
      <c r="O11" t="s">
        <v>286</v>
      </c>
      <c r="P11" t="s">
        <v>286</v>
      </c>
      <c r="Q11">
        <v>1</v>
      </c>
      <c r="X11">
        <v>0.49</v>
      </c>
      <c r="Y11">
        <v>0</v>
      </c>
      <c r="Z11">
        <v>2.36</v>
      </c>
      <c r="AA11">
        <v>0.1</v>
      </c>
      <c r="AB11">
        <v>0</v>
      </c>
      <c r="AC11">
        <v>0</v>
      </c>
      <c r="AD11">
        <v>1</v>
      </c>
      <c r="AE11">
        <v>0</v>
      </c>
      <c r="AF11" t="s">
        <v>47</v>
      </c>
      <c r="AG11">
        <v>0.5635</v>
      </c>
      <c r="AH11">
        <v>2</v>
      </c>
      <c r="AI11">
        <v>90165060</v>
      </c>
      <c r="AJ11">
        <v>13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</row>
    <row r="12" spans="1:44" x14ac:dyDescent="0.2">
      <c r="A12">
        <f>ROW(Source!A34)</f>
        <v>34</v>
      </c>
      <c r="B12">
        <v>90165061</v>
      </c>
      <c r="C12">
        <v>90163326</v>
      </c>
      <c r="D12">
        <v>7233129</v>
      </c>
      <c r="E12">
        <v>1</v>
      </c>
      <c r="F12">
        <v>1</v>
      </c>
      <c r="G12">
        <v>7157832</v>
      </c>
      <c r="H12">
        <v>3</v>
      </c>
      <c r="I12" t="s">
        <v>299</v>
      </c>
      <c r="J12" t="s">
        <v>300</v>
      </c>
      <c r="K12" t="s">
        <v>301</v>
      </c>
      <c r="L12">
        <v>1327</v>
      </c>
      <c r="N12">
        <v>1005</v>
      </c>
      <c r="O12" t="s">
        <v>151</v>
      </c>
      <c r="P12" t="s">
        <v>151</v>
      </c>
      <c r="Q12">
        <v>1</v>
      </c>
      <c r="X12">
        <v>0.17</v>
      </c>
      <c r="Y12">
        <v>104</v>
      </c>
      <c r="Z12">
        <v>0</v>
      </c>
      <c r="AA12">
        <v>0</v>
      </c>
      <c r="AB12">
        <v>0</v>
      </c>
      <c r="AC12">
        <v>0</v>
      </c>
      <c r="AD12">
        <v>1</v>
      </c>
      <c r="AE12">
        <v>0</v>
      </c>
      <c r="AF12" t="s">
        <v>3</v>
      </c>
      <c r="AG12">
        <v>0.17</v>
      </c>
      <c r="AH12">
        <v>2</v>
      </c>
      <c r="AI12">
        <v>90165061</v>
      </c>
      <c r="AJ12">
        <v>14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</row>
    <row r="13" spans="1:44" x14ac:dyDescent="0.2">
      <c r="A13">
        <f>ROW(Source!A34)</f>
        <v>34</v>
      </c>
      <c r="B13">
        <v>90165063</v>
      </c>
      <c r="C13">
        <v>90163326</v>
      </c>
      <c r="D13">
        <v>7164370</v>
      </c>
      <c r="E13">
        <v>7157832</v>
      </c>
      <c r="F13">
        <v>1</v>
      </c>
      <c r="G13">
        <v>7157832</v>
      </c>
      <c r="H13">
        <v>3</v>
      </c>
      <c r="I13" t="s">
        <v>302</v>
      </c>
      <c r="J13" t="s">
        <v>3</v>
      </c>
      <c r="K13" t="s">
        <v>303</v>
      </c>
      <c r="L13">
        <v>1346</v>
      </c>
      <c r="N13">
        <v>1009</v>
      </c>
      <c r="O13" t="s">
        <v>304</v>
      </c>
      <c r="P13" t="s">
        <v>304</v>
      </c>
      <c r="Q13">
        <v>1</v>
      </c>
      <c r="X13">
        <v>0.26</v>
      </c>
      <c r="Y13">
        <v>9.5604999999999993</v>
      </c>
      <c r="Z13">
        <v>0</v>
      </c>
      <c r="AA13">
        <v>0</v>
      </c>
      <c r="AB13">
        <v>0</v>
      </c>
      <c r="AC13">
        <v>0</v>
      </c>
      <c r="AD13">
        <v>1</v>
      </c>
      <c r="AE13">
        <v>0</v>
      </c>
      <c r="AF13" t="s">
        <v>3</v>
      </c>
      <c r="AG13">
        <v>0.26</v>
      </c>
      <c r="AH13">
        <v>2</v>
      </c>
      <c r="AI13">
        <v>90165063</v>
      </c>
      <c r="AJ13">
        <v>15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</row>
    <row r="14" spans="1:44" x14ac:dyDescent="0.2">
      <c r="A14">
        <f>ROW(Source!A34)</f>
        <v>34</v>
      </c>
      <c r="B14">
        <v>90165062</v>
      </c>
      <c r="C14">
        <v>90163326</v>
      </c>
      <c r="D14">
        <v>7232664</v>
      </c>
      <c r="E14">
        <v>1</v>
      </c>
      <c r="F14">
        <v>1</v>
      </c>
      <c r="G14">
        <v>7157832</v>
      </c>
      <c r="H14">
        <v>3</v>
      </c>
      <c r="I14" t="s">
        <v>305</v>
      </c>
      <c r="J14" t="s">
        <v>306</v>
      </c>
      <c r="K14" t="s">
        <v>307</v>
      </c>
      <c r="L14">
        <v>1339</v>
      </c>
      <c r="N14">
        <v>1007</v>
      </c>
      <c r="O14" t="s">
        <v>30</v>
      </c>
      <c r="P14" t="s">
        <v>30</v>
      </c>
      <c r="Q14">
        <v>1</v>
      </c>
      <c r="X14">
        <v>6.7000000000000002E-4</v>
      </c>
      <c r="Y14">
        <v>5.67</v>
      </c>
      <c r="Z14">
        <v>0</v>
      </c>
      <c r="AA14">
        <v>0</v>
      </c>
      <c r="AB14">
        <v>0</v>
      </c>
      <c r="AC14">
        <v>0</v>
      </c>
      <c r="AD14">
        <v>1</v>
      </c>
      <c r="AE14">
        <v>0</v>
      </c>
      <c r="AF14" t="s">
        <v>3</v>
      </c>
      <c r="AG14">
        <v>6.7000000000000002E-4</v>
      </c>
      <c r="AH14">
        <v>2</v>
      </c>
      <c r="AI14">
        <v>90165062</v>
      </c>
      <c r="AJ14">
        <v>16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</row>
    <row r="15" spans="1:44" x14ac:dyDescent="0.2">
      <c r="A15">
        <f>ROW(Source!A34)</f>
        <v>34</v>
      </c>
      <c r="B15">
        <v>90165064</v>
      </c>
      <c r="C15">
        <v>90163326</v>
      </c>
      <c r="D15">
        <v>7179713</v>
      </c>
      <c r="E15">
        <v>7157832</v>
      </c>
      <c r="F15">
        <v>1</v>
      </c>
      <c r="G15">
        <v>7157832</v>
      </c>
      <c r="H15">
        <v>3</v>
      </c>
      <c r="I15" t="s">
        <v>417</v>
      </c>
      <c r="J15" t="s">
        <v>3</v>
      </c>
      <c r="K15" t="s">
        <v>418</v>
      </c>
      <c r="L15">
        <v>1035</v>
      </c>
      <c r="N15">
        <v>1013</v>
      </c>
      <c r="O15" t="s">
        <v>58</v>
      </c>
      <c r="P15" t="s">
        <v>58</v>
      </c>
      <c r="Q15">
        <v>1</v>
      </c>
      <c r="X15">
        <v>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 t="s">
        <v>3</v>
      </c>
      <c r="AG15">
        <v>1</v>
      </c>
      <c r="AH15">
        <v>3</v>
      </c>
      <c r="AI15">
        <v>-1</v>
      </c>
      <c r="AJ15" t="s">
        <v>3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</row>
    <row r="16" spans="1:44" x14ac:dyDescent="0.2">
      <c r="A16">
        <f>ROW(Source!A36)</f>
        <v>36</v>
      </c>
      <c r="B16">
        <v>90163352</v>
      </c>
      <c r="C16">
        <v>90163348</v>
      </c>
      <c r="D16">
        <v>7157835</v>
      </c>
      <c r="E16">
        <v>7157832</v>
      </c>
      <c r="F16">
        <v>1</v>
      </c>
      <c r="G16">
        <v>7157832</v>
      </c>
      <c r="H16">
        <v>1</v>
      </c>
      <c r="I16" t="s">
        <v>276</v>
      </c>
      <c r="J16" t="s">
        <v>3</v>
      </c>
      <c r="K16" t="s">
        <v>277</v>
      </c>
      <c r="L16">
        <v>1191</v>
      </c>
      <c r="N16">
        <v>1013</v>
      </c>
      <c r="O16" t="s">
        <v>278</v>
      </c>
      <c r="P16" t="s">
        <v>278</v>
      </c>
      <c r="Q16">
        <v>1</v>
      </c>
      <c r="X16">
        <v>1.38</v>
      </c>
      <c r="Y16">
        <v>0</v>
      </c>
      <c r="Z16">
        <v>0</v>
      </c>
      <c r="AA16">
        <v>0</v>
      </c>
      <c r="AB16">
        <v>0</v>
      </c>
      <c r="AC16">
        <v>0</v>
      </c>
      <c r="AD16">
        <v>1</v>
      </c>
      <c r="AE16">
        <v>1</v>
      </c>
      <c r="AF16" t="s">
        <v>3</v>
      </c>
      <c r="AG16">
        <v>1.38</v>
      </c>
      <c r="AH16">
        <v>2</v>
      </c>
      <c r="AI16">
        <v>90163349</v>
      </c>
      <c r="AJ16">
        <v>18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</row>
    <row r="17" spans="1:44" x14ac:dyDescent="0.2">
      <c r="A17">
        <f>ROW(Source!A36)</f>
        <v>36</v>
      </c>
      <c r="B17">
        <v>90163353</v>
      </c>
      <c r="C17">
        <v>90163348</v>
      </c>
      <c r="D17">
        <v>7230725</v>
      </c>
      <c r="E17">
        <v>1</v>
      </c>
      <c r="F17">
        <v>1</v>
      </c>
      <c r="G17">
        <v>7157832</v>
      </c>
      <c r="H17">
        <v>2</v>
      </c>
      <c r="I17" t="s">
        <v>308</v>
      </c>
      <c r="J17" t="s">
        <v>309</v>
      </c>
      <c r="K17" t="s">
        <v>310</v>
      </c>
      <c r="L17">
        <v>1368</v>
      </c>
      <c r="N17">
        <v>1011</v>
      </c>
      <c r="O17" t="s">
        <v>286</v>
      </c>
      <c r="P17" t="s">
        <v>286</v>
      </c>
      <c r="Q17">
        <v>1</v>
      </c>
      <c r="X17">
        <v>3.9874999999999998</v>
      </c>
      <c r="Y17">
        <v>0</v>
      </c>
      <c r="Z17">
        <v>162.4</v>
      </c>
      <c r="AA17">
        <v>28.6</v>
      </c>
      <c r="AB17">
        <v>0</v>
      </c>
      <c r="AC17">
        <v>0</v>
      </c>
      <c r="AD17">
        <v>1</v>
      </c>
      <c r="AE17">
        <v>0</v>
      </c>
      <c r="AF17" t="s">
        <v>3</v>
      </c>
      <c r="AG17">
        <v>3.9874999999999998</v>
      </c>
      <c r="AH17">
        <v>2</v>
      </c>
      <c r="AI17">
        <v>90163350</v>
      </c>
      <c r="AJ17">
        <v>19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</row>
    <row r="18" spans="1:44" x14ac:dyDescent="0.2">
      <c r="A18">
        <f>ROW(Source!A36)</f>
        <v>36</v>
      </c>
      <c r="B18">
        <v>90163354</v>
      </c>
      <c r="C18">
        <v>90163348</v>
      </c>
      <c r="D18">
        <v>7230750</v>
      </c>
      <c r="E18">
        <v>1</v>
      </c>
      <c r="F18">
        <v>1</v>
      </c>
      <c r="G18">
        <v>7157832</v>
      </c>
      <c r="H18">
        <v>2</v>
      </c>
      <c r="I18" t="s">
        <v>311</v>
      </c>
      <c r="J18" t="s">
        <v>312</v>
      </c>
      <c r="K18" t="s">
        <v>313</v>
      </c>
      <c r="L18">
        <v>1368</v>
      </c>
      <c r="N18">
        <v>1011</v>
      </c>
      <c r="O18" t="s">
        <v>286</v>
      </c>
      <c r="P18" t="s">
        <v>286</v>
      </c>
      <c r="Q18">
        <v>1</v>
      </c>
      <c r="X18">
        <v>0.997</v>
      </c>
      <c r="Y18">
        <v>0</v>
      </c>
      <c r="Z18">
        <v>110.31</v>
      </c>
      <c r="AA18">
        <v>26.52</v>
      </c>
      <c r="AB18">
        <v>0</v>
      </c>
      <c r="AC18">
        <v>0</v>
      </c>
      <c r="AD18">
        <v>1</v>
      </c>
      <c r="AE18">
        <v>0</v>
      </c>
      <c r="AF18" t="s">
        <v>3</v>
      </c>
      <c r="AG18">
        <v>0.997</v>
      </c>
      <c r="AH18">
        <v>2</v>
      </c>
      <c r="AI18">
        <v>90163351</v>
      </c>
      <c r="AJ18">
        <v>20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</row>
    <row r="19" spans="1:44" x14ac:dyDescent="0.2">
      <c r="A19">
        <f>ROW(Source!A72)</f>
        <v>72</v>
      </c>
      <c r="B19">
        <v>90163362</v>
      </c>
      <c r="C19">
        <v>90163359</v>
      </c>
      <c r="D19">
        <v>7182702</v>
      </c>
      <c r="E19">
        <v>7157832</v>
      </c>
      <c r="F19">
        <v>1</v>
      </c>
      <c r="G19">
        <v>7157832</v>
      </c>
      <c r="H19">
        <v>3</v>
      </c>
      <c r="I19" t="s">
        <v>37</v>
      </c>
      <c r="J19" t="s">
        <v>3</v>
      </c>
      <c r="K19" t="s">
        <v>38</v>
      </c>
      <c r="L19">
        <v>1348</v>
      </c>
      <c r="N19">
        <v>1009</v>
      </c>
      <c r="O19" t="s">
        <v>39</v>
      </c>
      <c r="P19" t="s">
        <v>39</v>
      </c>
      <c r="Q19">
        <v>1000</v>
      </c>
      <c r="X19">
        <v>1.3999999999999999E-4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</v>
      </c>
      <c r="AE19">
        <v>0</v>
      </c>
      <c r="AF19" t="s">
        <v>142</v>
      </c>
      <c r="AG19">
        <v>9.7999999999999983E-5</v>
      </c>
      <c r="AH19">
        <v>2</v>
      </c>
      <c r="AI19">
        <v>90163360</v>
      </c>
      <c r="AJ19">
        <v>21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</row>
    <row r="20" spans="1:44" x14ac:dyDescent="0.2">
      <c r="A20">
        <f>ROW(Source!A72)</f>
        <v>72</v>
      </c>
      <c r="B20">
        <v>90163363</v>
      </c>
      <c r="C20">
        <v>90163359</v>
      </c>
      <c r="D20">
        <v>7182705</v>
      </c>
      <c r="E20">
        <v>7157832</v>
      </c>
      <c r="F20">
        <v>1</v>
      </c>
      <c r="G20">
        <v>7157832</v>
      </c>
      <c r="H20">
        <v>3</v>
      </c>
      <c r="I20" t="s">
        <v>37</v>
      </c>
      <c r="J20" t="s">
        <v>3</v>
      </c>
      <c r="K20" t="s">
        <v>41</v>
      </c>
      <c r="L20">
        <v>1339</v>
      </c>
      <c r="N20">
        <v>1007</v>
      </c>
      <c r="O20" t="s">
        <v>30</v>
      </c>
      <c r="P20" t="s">
        <v>30</v>
      </c>
      <c r="Q20">
        <v>1</v>
      </c>
      <c r="X20">
        <v>0.87580000000000002</v>
      </c>
      <c r="Y20">
        <v>0</v>
      </c>
      <c r="Z20">
        <v>0</v>
      </c>
      <c r="AA20">
        <v>0</v>
      </c>
      <c r="AB20">
        <v>0</v>
      </c>
      <c r="AC20">
        <v>0</v>
      </c>
      <c r="AD20">
        <v>1</v>
      </c>
      <c r="AE20">
        <v>0</v>
      </c>
      <c r="AF20" t="s">
        <v>142</v>
      </c>
      <c r="AG20">
        <v>0.61305999999999994</v>
      </c>
      <c r="AH20">
        <v>2</v>
      </c>
      <c r="AI20">
        <v>90163361</v>
      </c>
      <c r="AJ20">
        <v>22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</row>
    <row r="21" spans="1:44" x14ac:dyDescent="0.2">
      <c r="A21">
        <f>ROW(Source!A75)</f>
        <v>75</v>
      </c>
      <c r="B21">
        <v>90163370</v>
      </c>
      <c r="C21">
        <v>90163366</v>
      </c>
      <c r="D21">
        <v>7157835</v>
      </c>
      <c r="E21">
        <v>7157832</v>
      </c>
      <c r="F21">
        <v>1</v>
      </c>
      <c r="G21">
        <v>7157832</v>
      </c>
      <c r="H21">
        <v>1</v>
      </c>
      <c r="I21" t="s">
        <v>276</v>
      </c>
      <c r="J21" t="s">
        <v>3</v>
      </c>
      <c r="K21" t="s">
        <v>277</v>
      </c>
      <c r="L21">
        <v>1191</v>
      </c>
      <c r="N21">
        <v>1013</v>
      </c>
      <c r="O21" t="s">
        <v>278</v>
      </c>
      <c r="P21" t="s">
        <v>278</v>
      </c>
      <c r="Q21">
        <v>1</v>
      </c>
      <c r="X21">
        <v>2.79</v>
      </c>
      <c r="Y21">
        <v>0</v>
      </c>
      <c r="Z21">
        <v>0</v>
      </c>
      <c r="AA21">
        <v>0</v>
      </c>
      <c r="AB21">
        <v>0</v>
      </c>
      <c r="AC21">
        <v>0</v>
      </c>
      <c r="AD21">
        <v>1</v>
      </c>
      <c r="AE21">
        <v>1</v>
      </c>
      <c r="AF21" t="s">
        <v>47</v>
      </c>
      <c r="AG21">
        <v>3.2084999999999999</v>
      </c>
      <c r="AH21">
        <v>2</v>
      </c>
      <c r="AI21">
        <v>90163367</v>
      </c>
      <c r="AJ21">
        <v>23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</row>
    <row r="22" spans="1:44" x14ac:dyDescent="0.2">
      <c r="A22">
        <f>ROW(Source!A75)</f>
        <v>75</v>
      </c>
      <c r="B22">
        <v>90163371</v>
      </c>
      <c r="C22">
        <v>90163366</v>
      </c>
      <c r="D22">
        <v>7159942</v>
      </c>
      <c r="E22">
        <v>7157832</v>
      </c>
      <c r="F22">
        <v>1</v>
      </c>
      <c r="G22">
        <v>7157832</v>
      </c>
      <c r="H22">
        <v>2</v>
      </c>
      <c r="I22" t="s">
        <v>279</v>
      </c>
      <c r="J22" t="s">
        <v>3</v>
      </c>
      <c r="K22" t="s">
        <v>280</v>
      </c>
      <c r="L22">
        <v>1344</v>
      </c>
      <c r="N22">
        <v>1008</v>
      </c>
      <c r="O22" t="s">
        <v>281</v>
      </c>
      <c r="P22" t="s">
        <v>281</v>
      </c>
      <c r="Q22">
        <v>1</v>
      </c>
      <c r="X22">
        <v>45.14</v>
      </c>
      <c r="Y22">
        <v>0</v>
      </c>
      <c r="Z22">
        <v>1</v>
      </c>
      <c r="AA22">
        <v>0</v>
      </c>
      <c r="AB22">
        <v>0</v>
      </c>
      <c r="AC22">
        <v>0</v>
      </c>
      <c r="AD22">
        <v>1</v>
      </c>
      <c r="AE22">
        <v>0</v>
      </c>
      <c r="AF22" t="s">
        <v>47</v>
      </c>
      <c r="AG22">
        <v>51.910999999999994</v>
      </c>
      <c r="AH22">
        <v>2</v>
      </c>
      <c r="AI22">
        <v>90163368</v>
      </c>
      <c r="AJ22">
        <v>24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</row>
    <row r="23" spans="1:44" x14ac:dyDescent="0.2">
      <c r="A23">
        <f>ROW(Source!A75)</f>
        <v>75</v>
      </c>
      <c r="B23">
        <v>90163372</v>
      </c>
      <c r="C23">
        <v>90163366</v>
      </c>
      <c r="D23">
        <v>7182707</v>
      </c>
      <c r="E23">
        <v>7157832</v>
      </c>
      <c r="F23">
        <v>1</v>
      </c>
      <c r="G23">
        <v>7157832</v>
      </c>
      <c r="H23">
        <v>3</v>
      </c>
      <c r="I23" t="s">
        <v>37</v>
      </c>
      <c r="J23" t="s">
        <v>3</v>
      </c>
      <c r="K23" t="s">
        <v>282</v>
      </c>
      <c r="L23">
        <v>1344</v>
      </c>
      <c r="N23">
        <v>1008</v>
      </c>
      <c r="O23" t="s">
        <v>281</v>
      </c>
      <c r="P23" t="s">
        <v>281</v>
      </c>
      <c r="Q23">
        <v>1</v>
      </c>
      <c r="X23">
        <v>32.4</v>
      </c>
      <c r="Y23">
        <v>1</v>
      </c>
      <c r="Z23">
        <v>0</v>
      </c>
      <c r="AA23">
        <v>0</v>
      </c>
      <c r="AB23">
        <v>0</v>
      </c>
      <c r="AC23">
        <v>0</v>
      </c>
      <c r="AD23">
        <v>1</v>
      </c>
      <c r="AE23">
        <v>0</v>
      </c>
      <c r="AF23" t="s">
        <v>3</v>
      </c>
      <c r="AG23">
        <v>32.4</v>
      </c>
      <c r="AH23">
        <v>2</v>
      </c>
      <c r="AI23">
        <v>90163369</v>
      </c>
      <c r="AJ23">
        <v>25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</row>
    <row r="24" spans="1:44" x14ac:dyDescent="0.2">
      <c r="A24">
        <f>ROW(Source!A76)</f>
        <v>76</v>
      </c>
      <c r="B24">
        <v>90163375</v>
      </c>
      <c r="C24">
        <v>90163373</v>
      </c>
      <c r="D24">
        <v>7182705</v>
      </c>
      <c r="E24">
        <v>7157832</v>
      </c>
      <c r="F24">
        <v>1</v>
      </c>
      <c r="G24">
        <v>7157832</v>
      </c>
      <c r="H24">
        <v>3</v>
      </c>
      <c r="I24" t="s">
        <v>37</v>
      </c>
      <c r="J24" t="s">
        <v>3</v>
      </c>
      <c r="K24" t="s">
        <v>41</v>
      </c>
      <c r="L24">
        <v>1339</v>
      </c>
      <c r="N24">
        <v>1007</v>
      </c>
      <c r="O24" t="s">
        <v>30</v>
      </c>
      <c r="P24" t="s">
        <v>30</v>
      </c>
      <c r="Q24">
        <v>1</v>
      </c>
      <c r="X24">
        <v>0.2</v>
      </c>
      <c r="Y24">
        <v>0</v>
      </c>
      <c r="Z24">
        <v>0</v>
      </c>
      <c r="AA24">
        <v>0</v>
      </c>
      <c r="AB24">
        <v>0</v>
      </c>
      <c r="AC24">
        <v>0</v>
      </c>
      <c r="AD24">
        <v>1</v>
      </c>
      <c r="AE24">
        <v>0</v>
      </c>
      <c r="AF24" t="s">
        <v>3</v>
      </c>
      <c r="AG24">
        <v>0.2</v>
      </c>
      <c r="AH24">
        <v>2</v>
      </c>
      <c r="AI24">
        <v>90163374</v>
      </c>
      <c r="AJ24">
        <v>26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</row>
    <row r="25" spans="1:44" x14ac:dyDescent="0.2">
      <c r="A25">
        <f>ROW(Source!A78)</f>
        <v>78</v>
      </c>
      <c r="B25">
        <v>90163381</v>
      </c>
      <c r="C25">
        <v>90163377</v>
      </c>
      <c r="D25">
        <v>7157835</v>
      </c>
      <c r="E25">
        <v>7157832</v>
      </c>
      <c r="F25">
        <v>1</v>
      </c>
      <c r="G25">
        <v>7157832</v>
      </c>
      <c r="H25">
        <v>1</v>
      </c>
      <c r="I25" t="s">
        <v>276</v>
      </c>
      <c r="J25" t="s">
        <v>3</v>
      </c>
      <c r="K25" t="s">
        <v>277</v>
      </c>
      <c r="L25">
        <v>1191</v>
      </c>
      <c r="N25">
        <v>1013</v>
      </c>
      <c r="O25" t="s">
        <v>278</v>
      </c>
      <c r="P25" t="s">
        <v>278</v>
      </c>
      <c r="Q25">
        <v>1</v>
      </c>
      <c r="X25">
        <v>1.38</v>
      </c>
      <c r="Y25">
        <v>0</v>
      </c>
      <c r="Z25">
        <v>0</v>
      </c>
      <c r="AA25">
        <v>0</v>
      </c>
      <c r="AB25">
        <v>0</v>
      </c>
      <c r="AC25">
        <v>0</v>
      </c>
      <c r="AD25">
        <v>1</v>
      </c>
      <c r="AE25">
        <v>1</v>
      </c>
      <c r="AF25" t="s">
        <v>3</v>
      </c>
      <c r="AG25">
        <v>1.38</v>
      </c>
      <c r="AH25">
        <v>2</v>
      </c>
      <c r="AI25">
        <v>90163378</v>
      </c>
      <c r="AJ25">
        <v>27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</row>
    <row r="26" spans="1:44" x14ac:dyDescent="0.2">
      <c r="A26">
        <f>ROW(Source!A78)</f>
        <v>78</v>
      </c>
      <c r="B26">
        <v>90163382</v>
      </c>
      <c r="C26">
        <v>90163377</v>
      </c>
      <c r="D26">
        <v>7230725</v>
      </c>
      <c r="E26">
        <v>1</v>
      </c>
      <c r="F26">
        <v>1</v>
      </c>
      <c r="G26">
        <v>7157832</v>
      </c>
      <c r="H26">
        <v>2</v>
      </c>
      <c r="I26" t="s">
        <v>308</v>
      </c>
      <c r="J26" t="s">
        <v>309</v>
      </c>
      <c r="K26" t="s">
        <v>310</v>
      </c>
      <c r="L26">
        <v>1368</v>
      </c>
      <c r="N26">
        <v>1011</v>
      </c>
      <c r="O26" t="s">
        <v>286</v>
      </c>
      <c r="P26" t="s">
        <v>286</v>
      </c>
      <c r="Q26">
        <v>1</v>
      </c>
      <c r="X26">
        <v>3.9874999999999998</v>
      </c>
      <c r="Y26">
        <v>0</v>
      </c>
      <c r="Z26">
        <v>162.4</v>
      </c>
      <c r="AA26">
        <v>28.6</v>
      </c>
      <c r="AB26">
        <v>0</v>
      </c>
      <c r="AC26">
        <v>0</v>
      </c>
      <c r="AD26">
        <v>1</v>
      </c>
      <c r="AE26">
        <v>0</v>
      </c>
      <c r="AF26" t="s">
        <v>3</v>
      </c>
      <c r="AG26">
        <v>3.9874999999999998</v>
      </c>
      <c r="AH26">
        <v>2</v>
      </c>
      <c r="AI26">
        <v>90163379</v>
      </c>
      <c r="AJ26">
        <v>28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</row>
    <row r="27" spans="1:44" x14ac:dyDescent="0.2">
      <c r="A27">
        <f>ROW(Source!A78)</f>
        <v>78</v>
      </c>
      <c r="B27">
        <v>90163383</v>
      </c>
      <c r="C27">
        <v>90163377</v>
      </c>
      <c r="D27">
        <v>7230750</v>
      </c>
      <c r="E27">
        <v>1</v>
      </c>
      <c r="F27">
        <v>1</v>
      </c>
      <c r="G27">
        <v>7157832</v>
      </c>
      <c r="H27">
        <v>2</v>
      </c>
      <c r="I27" t="s">
        <v>311</v>
      </c>
      <c r="J27" t="s">
        <v>312</v>
      </c>
      <c r="K27" t="s">
        <v>313</v>
      </c>
      <c r="L27">
        <v>1368</v>
      </c>
      <c r="N27">
        <v>1011</v>
      </c>
      <c r="O27" t="s">
        <v>286</v>
      </c>
      <c r="P27" t="s">
        <v>286</v>
      </c>
      <c r="Q27">
        <v>1</v>
      </c>
      <c r="X27">
        <v>0.997</v>
      </c>
      <c r="Y27">
        <v>0</v>
      </c>
      <c r="Z27">
        <v>110.31</v>
      </c>
      <c r="AA27">
        <v>26.52</v>
      </c>
      <c r="AB27">
        <v>0</v>
      </c>
      <c r="AC27">
        <v>0</v>
      </c>
      <c r="AD27">
        <v>1</v>
      </c>
      <c r="AE27">
        <v>0</v>
      </c>
      <c r="AF27" t="s">
        <v>3</v>
      </c>
      <c r="AG27">
        <v>0.997</v>
      </c>
      <c r="AH27">
        <v>2</v>
      </c>
      <c r="AI27">
        <v>90163380</v>
      </c>
      <c r="AJ27">
        <v>29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</row>
    <row r="28" spans="1:44" x14ac:dyDescent="0.2">
      <c r="A28">
        <f>ROW(Source!A114)</f>
        <v>114</v>
      </c>
      <c r="B28">
        <v>90165086</v>
      </c>
      <c r="C28">
        <v>90165070</v>
      </c>
      <c r="D28">
        <v>7157835</v>
      </c>
      <c r="E28">
        <v>7157832</v>
      </c>
      <c r="F28">
        <v>1</v>
      </c>
      <c r="G28">
        <v>7157832</v>
      </c>
      <c r="H28">
        <v>1</v>
      </c>
      <c r="I28" t="s">
        <v>276</v>
      </c>
      <c r="J28" t="s">
        <v>3</v>
      </c>
      <c r="K28" t="s">
        <v>277</v>
      </c>
      <c r="L28">
        <v>1191</v>
      </c>
      <c r="N28">
        <v>1013</v>
      </c>
      <c r="O28" t="s">
        <v>278</v>
      </c>
      <c r="P28" t="s">
        <v>278</v>
      </c>
      <c r="Q28">
        <v>1</v>
      </c>
      <c r="X28">
        <v>827</v>
      </c>
      <c r="Y28">
        <v>0</v>
      </c>
      <c r="Z28">
        <v>0</v>
      </c>
      <c r="AA28">
        <v>0</v>
      </c>
      <c r="AB28">
        <v>0</v>
      </c>
      <c r="AC28">
        <v>0</v>
      </c>
      <c r="AD28">
        <v>1</v>
      </c>
      <c r="AE28">
        <v>1</v>
      </c>
      <c r="AF28" t="s">
        <v>165</v>
      </c>
      <c r="AG28">
        <v>760.84</v>
      </c>
      <c r="AH28">
        <v>2</v>
      </c>
      <c r="AI28">
        <v>90165071</v>
      </c>
      <c r="AJ28">
        <v>30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</row>
    <row r="29" spans="1:44" x14ac:dyDescent="0.2">
      <c r="A29">
        <f>ROW(Source!A114)</f>
        <v>114</v>
      </c>
      <c r="B29">
        <v>90165087</v>
      </c>
      <c r="C29">
        <v>90165070</v>
      </c>
      <c r="D29">
        <v>7231210</v>
      </c>
      <c r="E29">
        <v>1</v>
      </c>
      <c r="F29">
        <v>1</v>
      </c>
      <c r="G29">
        <v>7157832</v>
      </c>
      <c r="H29">
        <v>2</v>
      </c>
      <c r="I29" t="s">
        <v>314</v>
      </c>
      <c r="J29" t="s">
        <v>315</v>
      </c>
      <c r="K29" t="s">
        <v>316</v>
      </c>
      <c r="L29">
        <v>1368</v>
      </c>
      <c r="N29">
        <v>1011</v>
      </c>
      <c r="O29" t="s">
        <v>286</v>
      </c>
      <c r="P29" t="s">
        <v>286</v>
      </c>
      <c r="Q29">
        <v>1</v>
      </c>
      <c r="X29">
        <v>26.3</v>
      </c>
      <c r="Y29">
        <v>0</v>
      </c>
      <c r="Z29">
        <v>7.01</v>
      </c>
      <c r="AA29">
        <v>0.31</v>
      </c>
      <c r="AB29">
        <v>0</v>
      </c>
      <c r="AC29">
        <v>0</v>
      </c>
      <c r="AD29">
        <v>1</v>
      </c>
      <c r="AE29">
        <v>0</v>
      </c>
      <c r="AF29" t="s">
        <v>165</v>
      </c>
      <c r="AG29">
        <v>24.195999999999998</v>
      </c>
      <c r="AH29">
        <v>2</v>
      </c>
      <c r="AI29">
        <v>90165072</v>
      </c>
      <c r="AJ29">
        <v>31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</row>
    <row r="30" spans="1:44" x14ac:dyDescent="0.2">
      <c r="A30">
        <f>ROW(Source!A114)</f>
        <v>114</v>
      </c>
      <c r="B30">
        <v>90165088</v>
      </c>
      <c r="C30">
        <v>90165070</v>
      </c>
      <c r="D30">
        <v>7231421</v>
      </c>
      <c r="E30">
        <v>1</v>
      </c>
      <c r="F30">
        <v>1</v>
      </c>
      <c r="G30">
        <v>7157832</v>
      </c>
      <c r="H30">
        <v>2</v>
      </c>
      <c r="I30" t="s">
        <v>293</v>
      </c>
      <c r="J30" t="s">
        <v>294</v>
      </c>
      <c r="K30" t="s">
        <v>295</v>
      </c>
      <c r="L30">
        <v>1368</v>
      </c>
      <c r="N30">
        <v>1011</v>
      </c>
      <c r="O30" t="s">
        <v>286</v>
      </c>
      <c r="P30" t="s">
        <v>286</v>
      </c>
      <c r="Q30">
        <v>1</v>
      </c>
      <c r="X30">
        <v>2.4700000000000002</v>
      </c>
      <c r="Y30">
        <v>0</v>
      </c>
      <c r="Z30">
        <v>74.44</v>
      </c>
      <c r="AA30">
        <v>17.59</v>
      </c>
      <c r="AB30">
        <v>0</v>
      </c>
      <c r="AC30">
        <v>0</v>
      </c>
      <c r="AD30">
        <v>1</v>
      </c>
      <c r="AE30">
        <v>0</v>
      </c>
      <c r="AF30" t="s">
        <v>165</v>
      </c>
      <c r="AG30">
        <v>2.2724000000000002</v>
      </c>
      <c r="AH30">
        <v>2</v>
      </c>
      <c r="AI30">
        <v>90165073</v>
      </c>
      <c r="AJ30">
        <v>32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</row>
    <row r="31" spans="1:44" x14ac:dyDescent="0.2">
      <c r="A31">
        <f>ROW(Source!A114)</f>
        <v>114</v>
      </c>
      <c r="B31">
        <v>90165089</v>
      </c>
      <c r="C31">
        <v>90165070</v>
      </c>
      <c r="D31">
        <v>7230811</v>
      </c>
      <c r="E31">
        <v>1</v>
      </c>
      <c r="F31">
        <v>1</v>
      </c>
      <c r="G31">
        <v>7157832</v>
      </c>
      <c r="H31">
        <v>2</v>
      </c>
      <c r="I31" t="s">
        <v>317</v>
      </c>
      <c r="J31" t="s">
        <v>318</v>
      </c>
      <c r="K31" t="s">
        <v>319</v>
      </c>
      <c r="L31">
        <v>1368</v>
      </c>
      <c r="N31">
        <v>1011</v>
      </c>
      <c r="O31" t="s">
        <v>286</v>
      </c>
      <c r="P31" t="s">
        <v>286</v>
      </c>
      <c r="Q31">
        <v>1</v>
      </c>
      <c r="X31">
        <v>1.65</v>
      </c>
      <c r="Y31">
        <v>0</v>
      </c>
      <c r="Z31">
        <v>102.11</v>
      </c>
      <c r="AA31">
        <v>30.03</v>
      </c>
      <c r="AB31">
        <v>0</v>
      </c>
      <c r="AC31">
        <v>0</v>
      </c>
      <c r="AD31">
        <v>1</v>
      </c>
      <c r="AE31">
        <v>0</v>
      </c>
      <c r="AF31" t="s">
        <v>165</v>
      </c>
      <c r="AG31">
        <v>1.5179999999999998</v>
      </c>
      <c r="AH31">
        <v>2</v>
      </c>
      <c r="AI31">
        <v>90165074</v>
      </c>
      <c r="AJ31">
        <v>33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</row>
    <row r="32" spans="1:44" x14ac:dyDescent="0.2">
      <c r="A32">
        <f>ROW(Source!A114)</f>
        <v>114</v>
      </c>
      <c r="B32">
        <v>90165090</v>
      </c>
      <c r="C32">
        <v>90165070</v>
      </c>
      <c r="D32">
        <v>7231063</v>
      </c>
      <c r="E32">
        <v>1</v>
      </c>
      <c r="F32">
        <v>1</v>
      </c>
      <c r="G32">
        <v>7157832</v>
      </c>
      <c r="H32">
        <v>2</v>
      </c>
      <c r="I32" t="s">
        <v>320</v>
      </c>
      <c r="J32" t="s">
        <v>321</v>
      </c>
      <c r="K32" t="s">
        <v>322</v>
      </c>
      <c r="L32">
        <v>1368</v>
      </c>
      <c r="N32">
        <v>1011</v>
      </c>
      <c r="O32" t="s">
        <v>286</v>
      </c>
      <c r="P32" t="s">
        <v>286</v>
      </c>
      <c r="Q32">
        <v>1</v>
      </c>
      <c r="X32">
        <v>38.85</v>
      </c>
      <c r="Y32">
        <v>0</v>
      </c>
      <c r="Z32">
        <v>2.06</v>
      </c>
      <c r="AA32">
        <v>0.09</v>
      </c>
      <c r="AB32">
        <v>0</v>
      </c>
      <c r="AC32">
        <v>0</v>
      </c>
      <c r="AD32">
        <v>1</v>
      </c>
      <c r="AE32">
        <v>0</v>
      </c>
      <c r="AF32" t="s">
        <v>165</v>
      </c>
      <c r="AG32">
        <v>35.741999999999997</v>
      </c>
      <c r="AH32">
        <v>2</v>
      </c>
      <c r="AI32">
        <v>90165075</v>
      </c>
      <c r="AJ32">
        <v>34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</row>
    <row r="33" spans="1:44" x14ac:dyDescent="0.2">
      <c r="A33">
        <f>ROW(Source!A114)</f>
        <v>114</v>
      </c>
      <c r="B33">
        <v>90165091</v>
      </c>
      <c r="C33">
        <v>90165070</v>
      </c>
      <c r="D33">
        <v>7158352</v>
      </c>
      <c r="E33">
        <v>7157832</v>
      </c>
      <c r="F33">
        <v>1</v>
      </c>
      <c r="G33">
        <v>7157832</v>
      </c>
      <c r="H33">
        <v>3</v>
      </c>
      <c r="I33" t="s">
        <v>323</v>
      </c>
      <c r="J33" t="s">
        <v>3</v>
      </c>
      <c r="K33" t="s">
        <v>324</v>
      </c>
      <c r="L33">
        <v>1348</v>
      </c>
      <c r="N33">
        <v>1009</v>
      </c>
      <c r="O33" t="s">
        <v>39</v>
      </c>
      <c r="P33" t="s">
        <v>39</v>
      </c>
      <c r="Q33">
        <v>1000</v>
      </c>
      <c r="X33">
        <v>9.5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 t="s">
        <v>164</v>
      </c>
      <c r="AG33">
        <v>0</v>
      </c>
      <c r="AH33">
        <v>2</v>
      </c>
      <c r="AI33">
        <v>90165076</v>
      </c>
      <c r="AJ33">
        <v>35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</row>
    <row r="34" spans="1:44" x14ac:dyDescent="0.2">
      <c r="A34">
        <f>ROW(Source!A114)</f>
        <v>114</v>
      </c>
      <c r="B34">
        <v>90165092</v>
      </c>
      <c r="C34">
        <v>90165070</v>
      </c>
      <c r="D34">
        <v>7231843</v>
      </c>
      <c r="E34">
        <v>1</v>
      </c>
      <c r="F34">
        <v>1</v>
      </c>
      <c r="G34">
        <v>7157832</v>
      </c>
      <c r="H34">
        <v>3</v>
      </c>
      <c r="I34" t="s">
        <v>325</v>
      </c>
      <c r="J34" t="s">
        <v>326</v>
      </c>
      <c r="K34" t="s">
        <v>327</v>
      </c>
      <c r="L34">
        <v>1348</v>
      </c>
      <c r="N34">
        <v>1009</v>
      </c>
      <c r="O34" t="s">
        <v>39</v>
      </c>
      <c r="P34" t="s">
        <v>39</v>
      </c>
      <c r="Q34">
        <v>1000</v>
      </c>
      <c r="X34">
        <v>0.01</v>
      </c>
      <c r="Y34">
        <v>6521.42</v>
      </c>
      <c r="Z34">
        <v>0</v>
      </c>
      <c r="AA34">
        <v>0</v>
      </c>
      <c r="AB34">
        <v>0</v>
      </c>
      <c r="AC34">
        <v>0</v>
      </c>
      <c r="AD34">
        <v>1</v>
      </c>
      <c r="AE34">
        <v>0</v>
      </c>
      <c r="AF34" t="s">
        <v>164</v>
      </c>
      <c r="AG34">
        <v>0</v>
      </c>
      <c r="AH34">
        <v>2</v>
      </c>
      <c r="AI34">
        <v>90165077</v>
      </c>
      <c r="AJ34">
        <v>36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</row>
    <row r="35" spans="1:44" x14ac:dyDescent="0.2">
      <c r="A35">
        <f>ROW(Source!A114)</f>
        <v>114</v>
      </c>
      <c r="B35">
        <v>90165093</v>
      </c>
      <c r="C35">
        <v>90165070</v>
      </c>
      <c r="D35">
        <v>7233230</v>
      </c>
      <c r="E35">
        <v>1</v>
      </c>
      <c r="F35">
        <v>1</v>
      </c>
      <c r="G35">
        <v>7157832</v>
      </c>
      <c r="H35">
        <v>3</v>
      </c>
      <c r="I35" t="s">
        <v>328</v>
      </c>
      <c r="J35" t="s">
        <v>329</v>
      </c>
      <c r="K35" t="s">
        <v>330</v>
      </c>
      <c r="L35">
        <v>1348</v>
      </c>
      <c r="N35">
        <v>1009</v>
      </c>
      <c r="O35" t="s">
        <v>39</v>
      </c>
      <c r="P35" t="s">
        <v>39</v>
      </c>
      <c r="Q35">
        <v>1000</v>
      </c>
      <c r="X35">
        <v>2.75E-2</v>
      </c>
      <c r="Y35">
        <v>7191.81</v>
      </c>
      <c r="Z35">
        <v>0</v>
      </c>
      <c r="AA35">
        <v>0</v>
      </c>
      <c r="AB35">
        <v>0</v>
      </c>
      <c r="AC35">
        <v>0</v>
      </c>
      <c r="AD35">
        <v>1</v>
      </c>
      <c r="AE35">
        <v>0</v>
      </c>
      <c r="AF35" t="s">
        <v>164</v>
      </c>
      <c r="AG35">
        <v>0</v>
      </c>
      <c r="AH35">
        <v>2</v>
      </c>
      <c r="AI35">
        <v>90165078</v>
      </c>
      <c r="AJ35">
        <v>37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</row>
    <row r="36" spans="1:44" x14ac:dyDescent="0.2">
      <c r="A36">
        <f>ROW(Source!A114)</f>
        <v>114</v>
      </c>
      <c r="B36">
        <v>90165094</v>
      </c>
      <c r="C36">
        <v>90165070</v>
      </c>
      <c r="D36">
        <v>7231936</v>
      </c>
      <c r="E36">
        <v>1</v>
      </c>
      <c r="F36">
        <v>1</v>
      </c>
      <c r="G36">
        <v>7157832</v>
      </c>
      <c r="H36">
        <v>3</v>
      </c>
      <c r="I36" t="s">
        <v>331</v>
      </c>
      <c r="J36" t="s">
        <v>332</v>
      </c>
      <c r="K36" t="s">
        <v>333</v>
      </c>
      <c r="L36">
        <v>1339</v>
      </c>
      <c r="N36">
        <v>1007</v>
      </c>
      <c r="O36" t="s">
        <v>30</v>
      </c>
      <c r="P36" t="s">
        <v>30</v>
      </c>
      <c r="Q36">
        <v>1</v>
      </c>
      <c r="X36">
        <v>0.3</v>
      </c>
      <c r="Y36">
        <v>1828.56</v>
      </c>
      <c r="Z36">
        <v>0</v>
      </c>
      <c r="AA36">
        <v>0</v>
      </c>
      <c r="AB36">
        <v>0</v>
      </c>
      <c r="AC36">
        <v>0</v>
      </c>
      <c r="AD36">
        <v>1</v>
      </c>
      <c r="AE36">
        <v>0</v>
      </c>
      <c r="AF36" t="s">
        <v>164</v>
      </c>
      <c r="AG36">
        <v>0</v>
      </c>
      <c r="AH36">
        <v>2</v>
      </c>
      <c r="AI36">
        <v>90165079</v>
      </c>
      <c r="AJ36">
        <v>38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</row>
    <row r="37" spans="1:44" x14ac:dyDescent="0.2">
      <c r="A37">
        <f>ROW(Source!A114)</f>
        <v>114</v>
      </c>
      <c r="B37">
        <v>90165095</v>
      </c>
      <c r="C37">
        <v>90165070</v>
      </c>
      <c r="D37">
        <v>7231762</v>
      </c>
      <c r="E37">
        <v>1</v>
      </c>
      <c r="F37">
        <v>1</v>
      </c>
      <c r="G37">
        <v>7157832</v>
      </c>
      <c r="H37">
        <v>3</v>
      </c>
      <c r="I37" t="s">
        <v>334</v>
      </c>
      <c r="J37" t="s">
        <v>335</v>
      </c>
      <c r="K37" t="s">
        <v>336</v>
      </c>
      <c r="L37">
        <v>1348</v>
      </c>
      <c r="N37">
        <v>1009</v>
      </c>
      <c r="O37" t="s">
        <v>39</v>
      </c>
      <c r="P37" t="s">
        <v>39</v>
      </c>
      <c r="Q37">
        <v>1000</v>
      </c>
      <c r="X37">
        <v>0.84</v>
      </c>
      <c r="Y37">
        <v>3806.03</v>
      </c>
      <c r="Z37">
        <v>0</v>
      </c>
      <c r="AA37">
        <v>0</v>
      </c>
      <c r="AB37">
        <v>0</v>
      </c>
      <c r="AC37">
        <v>0</v>
      </c>
      <c r="AD37">
        <v>1</v>
      </c>
      <c r="AE37">
        <v>0</v>
      </c>
      <c r="AF37" t="s">
        <v>164</v>
      </c>
      <c r="AG37">
        <v>0</v>
      </c>
      <c r="AH37">
        <v>2</v>
      </c>
      <c r="AI37">
        <v>90165080</v>
      </c>
      <c r="AJ37">
        <v>39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</row>
    <row r="38" spans="1:44" x14ac:dyDescent="0.2">
      <c r="A38">
        <f>ROW(Source!A114)</f>
        <v>114</v>
      </c>
      <c r="B38">
        <v>90165096</v>
      </c>
      <c r="C38">
        <v>90165070</v>
      </c>
      <c r="D38">
        <v>7239912</v>
      </c>
      <c r="E38">
        <v>1</v>
      </c>
      <c r="F38">
        <v>1</v>
      </c>
      <c r="G38">
        <v>7157832</v>
      </c>
      <c r="H38">
        <v>3</v>
      </c>
      <c r="I38" t="s">
        <v>337</v>
      </c>
      <c r="J38" t="s">
        <v>338</v>
      </c>
      <c r="K38" t="s">
        <v>339</v>
      </c>
      <c r="L38">
        <v>1327</v>
      </c>
      <c r="N38">
        <v>1005</v>
      </c>
      <c r="O38" t="s">
        <v>151</v>
      </c>
      <c r="P38" t="s">
        <v>151</v>
      </c>
      <c r="Q38">
        <v>1</v>
      </c>
      <c r="X38">
        <v>9.1999999999999993</v>
      </c>
      <c r="Y38">
        <v>90.15</v>
      </c>
      <c r="Z38">
        <v>0</v>
      </c>
      <c r="AA38">
        <v>0</v>
      </c>
      <c r="AB38">
        <v>0</v>
      </c>
      <c r="AC38">
        <v>0</v>
      </c>
      <c r="AD38">
        <v>1</v>
      </c>
      <c r="AE38">
        <v>0</v>
      </c>
      <c r="AF38" t="s">
        <v>164</v>
      </c>
      <c r="AG38">
        <v>0</v>
      </c>
      <c r="AH38">
        <v>2</v>
      </c>
      <c r="AI38">
        <v>90165081</v>
      </c>
      <c r="AJ38">
        <v>40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</row>
    <row r="39" spans="1:44" x14ac:dyDescent="0.2">
      <c r="A39">
        <f>ROW(Source!A114)</f>
        <v>114</v>
      </c>
      <c r="B39">
        <v>90165097</v>
      </c>
      <c r="C39">
        <v>90165070</v>
      </c>
      <c r="D39">
        <v>20685154</v>
      </c>
      <c r="E39">
        <v>7157832</v>
      </c>
      <c r="F39">
        <v>1</v>
      </c>
      <c r="G39">
        <v>7157832</v>
      </c>
      <c r="H39">
        <v>3</v>
      </c>
      <c r="I39" t="s">
        <v>340</v>
      </c>
      <c r="J39" t="s">
        <v>3</v>
      </c>
      <c r="K39" t="s">
        <v>341</v>
      </c>
      <c r="L39">
        <v>1354</v>
      </c>
      <c r="N39">
        <v>16987630</v>
      </c>
      <c r="O39" t="s">
        <v>342</v>
      </c>
      <c r="P39" t="s">
        <v>342</v>
      </c>
      <c r="Q39">
        <v>1</v>
      </c>
      <c r="X39">
        <v>14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 t="s">
        <v>164</v>
      </c>
      <c r="AG39">
        <v>0</v>
      </c>
      <c r="AH39">
        <v>2</v>
      </c>
      <c r="AI39">
        <v>90165082</v>
      </c>
      <c r="AJ39">
        <v>41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</row>
    <row r="40" spans="1:44" x14ac:dyDescent="0.2">
      <c r="A40">
        <f>ROW(Source!A114)</f>
        <v>114</v>
      </c>
      <c r="B40">
        <v>90165098</v>
      </c>
      <c r="C40">
        <v>90165070</v>
      </c>
      <c r="D40">
        <v>7178521</v>
      </c>
      <c r="E40">
        <v>7157832</v>
      </c>
      <c r="F40">
        <v>1</v>
      </c>
      <c r="G40">
        <v>7157832</v>
      </c>
      <c r="H40">
        <v>3</v>
      </c>
      <c r="I40" t="s">
        <v>343</v>
      </c>
      <c r="J40" t="s">
        <v>3</v>
      </c>
      <c r="K40" t="s">
        <v>344</v>
      </c>
      <c r="L40">
        <v>1339</v>
      </c>
      <c r="N40">
        <v>1007</v>
      </c>
      <c r="O40" t="s">
        <v>30</v>
      </c>
      <c r="P40" t="s">
        <v>30</v>
      </c>
      <c r="Q40">
        <v>1</v>
      </c>
      <c r="X40">
        <v>51.8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 t="s">
        <v>164</v>
      </c>
      <c r="AG40">
        <v>0</v>
      </c>
      <c r="AH40">
        <v>2</v>
      </c>
      <c r="AI40">
        <v>90165083</v>
      </c>
      <c r="AJ40">
        <v>42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</row>
    <row r="41" spans="1:44" x14ac:dyDescent="0.2">
      <c r="A41">
        <f>ROW(Source!A114)</f>
        <v>114</v>
      </c>
      <c r="B41">
        <v>90165099</v>
      </c>
      <c r="C41">
        <v>90165070</v>
      </c>
      <c r="D41">
        <v>7178714</v>
      </c>
      <c r="E41">
        <v>7157832</v>
      </c>
      <c r="F41">
        <v>1</v>
      </c>
      <c r="G41">
        <v>7157832</v>
      </c>
      <c r="H41">
        <v>3</v>
      </c>
      <c r="I41" t="s">
        <v>345</v>
      </c>
      <c r="J41" t="s">
        <v>3</v>
      </c>
      <c r="K41" t="s">
        <v>346</v>
      </c>
      <c r="L41">
        <v>1339</v>
      </c>
      <c r="N41">
        <v>1007</v>
      </c>
      <c r="O41" t="s">
        <v>30</v>
      </c>
      <c r="P41" t="s">
        <v>30</v>
      </c>
      <c r="Q41">
        <v>1</v>
      </c>
      <c r="X41">
        <v>2.9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 t="s">
        <v>164</v>
      </c>
      <c r="AG41">
        <v>0</v>
      </c>
      <c r="AH41">
        <v>2</v>
      </c>
      <c r="AI41">
        <v>90165084</v>
      </c>
      <c r="AJ41">
        <v>43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</row>
    <row r="42" spans="1:44" x14ac:dyDescent="0.2">
      <c r="A42">
        <f>ROW(Source!A114)</f>
        <v>114</v>
      </c>
      <c r="B42">
        <v>90165100</v>
      </c>
      <c r="C42">
        <v>90165070</v>
      </c>
      <c r="D42">
        <v>7181116</v>
      </c>
      <c r="E42">
        <v>7157832</v>
      </c>
      <c r="F42">
        <v>1</v>
      </c>
      <c r="G42">
        <v>7157832</v>
      </c>
      <c r="H42">
        <v>3</v>
      </c>
      <c r="I42" t="s">
        <v>347</v>
      </c>
      <c r="J42" t="s">
        <v>3</v>
      </c>
      <c r="K42" t="s">
        <v>348</v>
      </c>
      <c r="L42">
        <v>1339</v>
      </c>
      <c r="N42">
        <v>1007</v>
      </c>
      <c r="O42" t="s">
        <v>30</v>
      </c>
      <c r="P42" t="s">
        <v>30</v>
      </c>
      <c r="Q42">
        <v>1</v>
      </c>
      <c r="X42">
        <v>52.8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 t="s">
        <v>164</v>
      </c>
      <c r="AG42">
        <v>0</v>
      </c>
      <c r="AH42">
        <v>2</v>
      </c>
      <c r="AI42">
        <v>90165085</v>
      </c>
      <c r="AJ42">
        <v>44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</row>
    <row r="43" spans="1:44" x14ac:dyDescent="0.2">
      <c r="A43">
        <f>ROW(Source!A115)</f>
        <v>115</v>
      </c>
      <c r="B43">
        <v>90165103</v>
      </c>
      <c r="C43">
        <v>90165101</v>
      </c>
      <c r="D43">
        <v>7159942</v>
      </c>
      <c r="E43">
        <v>7157832</v>
      </c>
      <c r="F43">
        <v>1</v>
      </c>
      <c r="G43">
        <v>7157832</v>
      </c>
      <c r="H43">
        <v>2</v>
      </c>
      <c r="I43" t="s">
        <v>279</v>
      </c>
      <c r="J43" t="s">
        <v>3</v>
      </c>
      <c r="K43" t="s">
        <v>280</v>
      </c>
      <c r="L43">
        <v>1344</v>
      </c>
      <c r="N43">
        <v>1008</v>
      </c>
      <c r="O43" t="s">
        <v>281</v>
      </c>
      <c r="P43" t="s">
        <v>281</v>
      </c>
      <c r="Q43">
        <v>1</v>
      </c>
      <c r="X43">
        <v>8.86</v>
      </c>
      <c r="Y43">
        <v>0</v>
      </c>
      <c r="Z43">
        <v>1</v>
      </c>
      <c r="AA43">
        <v>0</v>
      </c>
      <c r="AB43">
        <v>0</v>
      </c>
      <c r="AC43">
        <v>0</v>
      </c>
      <c r="AD43">
        <v>1</v>
      </c>
      <c r="AE43">
        <v>0</v>
      </c>
      <c r="AF43" t="s">
        <v>172</v>
      </c>
      <c r="AG43">
        <v>9.7460000000000004</v>
      </c>
      <c r="AH43">
        <v>2</v>
      </c>
      <c r="AI43">
        <v>90165102</v>
      </c>
      <c r="AJ43">
        <v>45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</row>
    <row r="44" spans="1:44" x14ac:dyDescent="0.2">
      <c r="A44">
        <f>ROW(Source!A116)</f>
        <v>116</v>
      </c>
      <c r="B44">
        <v>90165130</v>
      </c>
      <c r="C44">
        <v>90165104</v>
      </c>
      <c r="D44">
        <v>7182702</v>
      </c>
      <c r="E44">
        <v>7157832</v>
      </c>
      <c r="F44">
        <v>1</v>
      </c>
      <c r="G44">
        <v>7157832</v>
      </c>
      <c r="H44">
        <v>3</v>
      </c>
      <c r="I44" t="s">
        <v>37</v>
      </c>
      <c r="J44" t="s">
        <v>3</v>
      </c>
      <c r="K44" t="s">
        <v>38</v>
      </c>
      <c r="L44">
        <v>1348</v>
      </c>
      <c r="N44">
        <v>1009</v>
      </c>
      <c r="O44" t="s">
        <v>39</v>
      </c>
      <c r="P44" t="s">
        <v>39</v>
      </c>
      <c r="Q44">
        <v>1000</v>
      </c>
      <c r="X44">
        <v>0.31</v>
      </c>
      <c r="Y44">
        <v>0</v>
      </c>
      <c r="Z44">
        <v>0</v>
      </c>
      <c r="AA44">
        <v>0</v>
      </c>
      <c r="AB44">
        <v>0</v>
      </c>
      <c r="AC44">
        <v>0</v>
      </c>
      <c r="AD44">
        <v>1</v>
      </c>
      <c r="AE44">
        <v>0</v>
      </c>
      <c r="AF44" t="s">
        <v>182</v>
      </c>
      <c r="AG44">
        <v>9.2813999999999994E-2</v>
      </c>
      <c r="AH44">
        <v>2</v>
      </c>
      <c r="AI44">
        <v>90165130</v>
      </c>
      <c r="AJ44">
        <v>46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</row>
    <row r="45" spans="1:44" x14ac:dyDescent="0.2">
      <c r="A45">
        <f>ROW(Source!A116)</f>
        <v>116</v>
      </c>
      <c r="B45">
        <v>90165131</v>
      </c>
      <c r="C45">
        <v>90165104</v>
      </c>
      <c r="D45">
        <v>7182705</v>
      </c>
      <c r="E45">
        <v>7157832</v>
      </c>
      <c r="F45">
        <v>1</v>
      </c>
      <c r="G45">
        <v>7157832</v>
      </c>
      <c r="H45">
        <v>3</v>
      </c>
      <c r="I45" t="s">
        <v>37</v>
      </c>
      <c r="J45" t="s">
        <v>3</v>
      </c>
      <c r="K45" t="s">
        <v>41</v>
      </c>
      <c r="L45">
        <v>1339</v>
      </c>
      <c r="N45">
        <v>1007</v>
      </c>
      <c r="O45" t="s">
        <v>30</v>
      </c>
      <c r="P45" t="s">
        <v>30</v>
      </c>
      <c r="Q45">
        <v>1</v>
      </c>
      <c r="X45">
        <v>22.21</v>
      </c>
      <c r="Y45">
        <v>0</v>
      </c>
      <c r="Z45">
        <v>0</v>
      </c>
      <c r="AA45">
        <v>0</v>
      </c>
      <c r="AB45">
        <v>0</v>
      </c>
      <c r="AC45">
        <v>0</v>
      </c>
      <c r="AD45">
        <v>1</v>
      </c>
      <c r="AE45">
        <v>0</v>
      </c>
      <c r="AF45" t="s">
        <v>182</v>
      </c>
      <c r="AG45">
        <v>6.6496740000000001</v>
      </c>
      <c r="AH45">
        <v>2</v>
      </c>
      <c r="AI45">
        <v>90165131</v>
      </c>
      <c r="AJ45">
        <v>47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</row>
    <row r="46" spans="1:44" x14ac:dyDescent="0.2">
      <c r="A46">
        <f>ROW(Source!A120)</f>
        <v>120</v>
      </c>
      <c r="B46">
        <v>90165116</v>
      </c>
      <c r="C46">
        <v>90165114</v>
      </c>
      <c r="D46">
        <v>7182705</v>
      </c>
      <c r="E46">
        <v>7157832</v>
      </c>
      <c r="F46">
        <v>1</v>
      </c>
      <c r="G46">
        <v>7157832</v>
      </c>
      <c r="H46">
        <v>3</v>
      </c>
      <c r="I46" t="s">
        <v>37</v>
      </c>
      <c r="J46" t="s">
        <v>3</v>
      </c>
      <c r="K46" t="s">
        <v>41</v>
      </c>
      <c r="L46">
        <v>1339</v>
      </c>
      <c r="N46">
        <v>1007</v>
      </c>
      <c r="O46" t="s">
        <v>30</v>
      </c>
      <c r="P46" t="s">
        <v>30</v>
      </c>
      <c r="Q46">
        <v>1</v>
      </c>
      <c r="X46">
        <v>0.2</v>
      </c>
      <c r="Y46">
        <v>0</v>
      </c>
      <c r="Z46">
        <v>0</v>
      </c>
      <c r="AA46">
        <v>0</v>
      </c>
      <c r="AB46">
        <v>0</v>
      </c>
      <c r="AC46">
        <v>0</v>
      </c>
      <c r="AD46">
        <v>1</v>
      </c>
      <c r="AE46">
        <v>0</v>
      </c>
      <c r="AF46" t="s">
        <v>3</v>
      </c>
      <c r="AG46">
        <v>0.2</v>
      </c>
      <c r="AH46">
        <v>2</v>
      </c>
      <c r="AI46">
        <v>90165115</v>
      </c>
      <c r="AJ46">
        <v>48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</row>
    <row r="47" spans="1:44" x14ac:dyDescent="0.2">
      <c r="A47">
        <f>ROW(Source!A122)</f>
        <v>122</v>
      </c>
      <c r="B47">
        <v>90165122</v>
      </c>
      <c r="C47">
        <v>90165118</v>
      </c>
      <c r="D47">
        <v>7157835</v>
      </c>
      <c r="E47">
        <v>7157832</v>
      </c>
      <c r="F47">
        <v>1</v>
      </c>
      <c r="G47">
        <v>7157832</v>
      </c>
      <c r="H47">
        <v>1</v>
      </c>
      <c r="I47" t="s">
        <v>276</v>
      </c>
      <c r="J47" t="s">
        <v>3</v>
      </c>
      <c r="K47" t="s">
        <v>277</v>
      </c>
      <c r="L47">
        <v>1191</v>
      </c>
      <c r="N47">
        <v>1013</v>
      </c>
      <c r="O47" t="s">
        <v>278</v>
      </c>
      <c r="P47" t="s">
        <v>278</v>
      </c>
      <c r="Q47">
        <v>1</v>
      </c>
      <c r="X47">
        <v>1.38</v>
      </c>
      <c r="Y47">
        <v>0</v>
      </c>
      <c r="Z47">
        <v>0</v>
      </c>
      <c r="AA47">
        <v>0</v>
      </c>
      <c r="AB47">
        <v>0</v>
      </c>
      <c r="AC47">
        <v>0</v>
      </c>
      <c r="AD47">
        <v>1</v>
      </c>
      <c r="AE47">
        <v>1</v>
      </c>
      <c r="AF47" t="s">
        <v>3</v>
      </c>
      <c r="AG47">
        <v>1.38</v>
      </c>
      <c r="AH47">
        <v>2</v>
      </c>
      <c r="AI47">
        <v>90165119</v>
      </c>
      <c r="AJ47">
        <v>49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</row>
    <row r="48" spans="1:44" x14ac:dyDescent="0.2">
      <c r="A48">
        <f>ROW(Source!A122)</f>
        <v>122</v>
      </c>
      <c r="B48">
        <v>90165123</v>
      </c>
      <c r="C48">
        <v>90165118</v>
      </c>
      <c r="D48">
        <v>7230725</v>
      </c>
      <c r="E48">
        <v>1</v>
      </c>
      <c r="F48">
        <v>1</v>
      </c>
      <c r="G48">
        <v>7157832</v>
      </c>
      <c r="H48">
        <v>2</v>
      </c>
      <c r="I48" t="s">
        <v>308</v>
      </c>
      <c r="J48" t="s">
        <v>309</v>
      </c>
      <c r="K48" t="s">
        <v>310</v>
      </c>
      <c r="L48">
        <v>1368</v>
      </c>
      <c r="N48">
        <v>1011</v>
      </c>
      <c r="O48" t="s">
        <v>286</v>
      </c>
      <c r="P48" t="s">
        <v>286</v>
      </c>
      <c r="Q48">
        <v>1</v>
      </c>
      <c r="X48">
        <v>3.9874999999999998</v>
      </c>
      <c r="Y48">
        <v>0</v>
      </c>
      <c r="Z48">
        <v>162.4</v>
      </c>
      <c r="AA48">
        <v>28.6</v>
      </c>
      <c r="AB48">
        <v>0</v>
      </c>
      <c r="AC48">
        <v>0</v>
      </c>
      <c r="AD48">
        <v>1</v>
      </c>
      <c r="AE48">
        <v>0</v>
      </c>
      <c r="AF48" t="s">
        <v>3</v>
      </c>
      <c r="AG48">
        <v>3.9874999999999998</v>
      </c>
      <c r="AH48">
        <v>2</v>
      </c>
      <c r="AI48">
        <v>90165120</v>
      </c>
      <c r="AJ48">
        <v>50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</row>
    <row r="49" spans="1:44" x14ac:dyDescent="0.2">
      <c r="A49">
        <f>ROW(Source!A122)</f>
        <v>122</v>
      </c>
      <c r="B49">
        <v>90165124</v>
      </c>
      <c r="C49">
        <v>90165118</v>
      </c>
      <c r="D49">
        <v>7230750</v>
      </c>
      <c r="E49">
        <v>1</v>
      </c>
      <c r="F49">
        <v>1</v>
      </c>
      <c r="G49">
        <v>7157832</v>
      </c>
      <c r="H49">
        <v>2</v>
      </c>
      <c r="I49" t="s">
        <v>311</v>
      </c>
      <c r="J49" t="s">
        <v>312</v>
      </c>
      <c r="K49" t="s">
        <v>313</v>
      </c>
      <c r="L49">
        <v>1368</v>
      </c>
      <c r="N49">
        <v>1011</v>
      </c>
      <c r="O49" t="s">
        <v>286</v>
      </c>
      <c r="P49" t="s">
        <v>286</v>
      </c>
      <c r="Q49">
        <v>1</v>
      </c>
      <c r="X49">
        <v>0.997</v>
      </c>
      <c r="Y49">
        <v>0</v>
      </c>
      <c r="Z49">
        <v>110.31</v>
      </c>
      <c r="AA49">
        <v>26.52</v>
      </c>
      <c r="AB49">
        <v>0</v>
      </c>
      <c r="AC49">
        <v>0</v>
      </c>
      <c r="AD49">
        <v>1</v>
      </c>
      <c r="AE49">
        <v>0</v>
      </c>
      <c r="AF49" t="s">
        <v>3</v>
      </c>
      <c r="AG49">
        <v>0.997</v>
      </c>
      <c r="AH49">
        <v>2</v>
      </c>
      <c r="AI49">
        <v>90165121</v>
      </c>
      <c r="AJ49">
        <v>51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</row>
    <row r="50" spans="1:44" x14ac:dyDescent="0.2">
      <c r="A50">
        <f>ROW(Source!A164)</f>
        <v>164</v>
      </c>
      <c r="B50">
        <v>90163943</v>
      </c>
      <c r="C50">
        <v>90163940</v>
      </c>
      <c r="D50">
        <v>7182702</v>
      </c>
      <c r="E50">
        <v>7157832</v>
      </c>
      <c r="F50">
        <v>1</v>
      </c>
      <c r="G50">
        <v>7157832</v>
      </c>
      <c r="H50">
        <v>3</v>
      </c>
      <c r="I50" t="s">
        <v>37</v>
      </c>
      <c r="J50" t="s">
        <v>3</v>
      </c>
      <c r="K50" t="s">
        <v>38</v>
      </c>
      <c r="L50">
        <v>1348</v>
      </c>
      <c r="N50">
        <v>1009</v>
      </c>
      <c r="O50" t="s">
        <v>39</v>
      </c>
      <c r="P50" t="s">
        <v>39</v>
      </c>
      <c r="Q50">
        <v>1000</v>
      </c>
      <c r="X50">
        <v>0.33600000000000002</v>
      </c>
      <c r="Y50">
        <v>0</v>
      </c>
      <c r="Z50">
        <v>0</v>
      </c>
      <c r="AA50">
        <v>0</v>
      </c>
      <c r="AB50">
        <v>0</v>
      </c>
      <c r="AC50">
        <v>0</v>
      </c>
      <c r="AD50">
        <v>1</v>
      </c>
      <c r="AE50">
        <v>0</v>
      </c>
      <c r="AF50" t="s">
        <v>223</v>
      </c>
      <c r="AG50">
        <v>0.235536</v>
      </c>
      <c r="AH50">
        <v>2</v>
      </c>
      <c r="AI50">
        <v>90163941</v>
      </c>
      <c r="AJ50">
        <v>54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</row>
    <row r="51" spans="1:44" x14ac:dyDescent="0.2">
      <c r="A51">
        <f>ROW(Source!A164)</f>
        <v>164</v>
      </c>
      <c r="B51">
        <v>90163944</v>
      </c>
      <c r="C51">
        <v>90163940</v>
      </c>
      <c r="D51">
        <v>7182705</v>
      </c>
      <c r="E51">
        <v>7157832</v>
      </c>
      <c r="F51">
        <v>1</v>
      </c>
      <c r="G51">
        <v>7157832</v>
      </c>
      <c r="H51">
        <v>3</v>
      </c>
      <c r="I51" t="s">
        <v>37</v>
      </c>
      <c r="J51" t="s">
        <v>3</v>
      </c>
      <c r="K51" t="s">
        <v>41</v>
      </c>
      <c r="L51">
        <v>1339</v>
      </c>
      <c r="N51">
        <v>1007</v>
      </c>
      <c r="O51" t="s">
        <v>30</v>
      </c>
      <c r="P51" t="s">
        <v>30</v>
      </c>
      <c r="Q51">
        <v>1</v>
      </c>
      <c r="X51">
        <v>23.93</v>
      </c>
      <c r="Y51">
        <v>0</v>
      </c>
      <c r="Z51">
        <v>0</v>
      </c>
      <c r="AA51">
        <v>0</v>
      </c>
      <c r="AB51">
        <v>0</v>
      </c>
      <c r="AC51">
        <v>0</v>
      </c>
      <c r="AD51">
        <v>1</v>
      </c>
      <c r="AE51">
        <v>0</v>
      </c>
      <c r="AF51" t="s">
        <v>223</v>
      </c>
      <c r="AG51">
        <v>16.774929999999998</v>
      </c>
      <c r="AH51">
        <v>2</v>
      </c>
      <c r="AI51">
        <v>90163942</v>
      </c>
      <c r="AJ51">
        <v>55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</row>
    <row r="52" spans="1:44" x14ac:dyDescent="0.2">
      <c r="A52">
        <f>ROW(Source!A169)</f>
        <v>169</v>
      </c>
      <c r="B52">
        <v>90163950</v>
      </c>
      <c r="C52">
        <v>90163948</v>
      </c>
      <c r="D52">
        <v>7182705</v>
      </c>
      <c r="E52">
        <v>7157832</v>
      </c>
      <c r="F52">
        <v>1</v>
      </c>
      <c r="G52">
        <v>7157832</v>
      </c>
      <c r="H52">
        <v>3</v>
      </c>
      <c r="I52" t="s">
        <v>37</v>
      </c>
      <c r="J52" t="s">
        <v>3</v>
      </c>
      <c r="K52" t="s">
        <v>41</v>
      </c>
      <c r="L52">
        <v>1339</v>
      </c>
      <c r="N52">
        <v>1007</v>
      </c>
      <c r="O52" t="s">
        <v>30</v>
      </c>
      <c r="P52" t="s">
        <v>30</v>
      </c>
      <c r="Q52">
        <v>1</v>
      </c>
      <c r="X52">
        <v>0.2</v>
      </c>
      <c r="Y52">
        <v>0</v>
      </c>
      <c r="Z52">
        <v>0</v>
      </c>
      <c r="AA52">
        <v>0</v>
      </c>
      <c r="AB52">
        <v>0</v>
      </c>
      <c r="AC52">
        <v>0</v>
      </c>
      <c r="AD52">
        <v>1</v>
      </c>
      <c r="AE52">
        <v>0</v>
      </c>
      <c r="AF52" t="s">
        <v>3</v>
      </c>
      <c r="AG52">
        <v>0.2</v>
      </c>
      <c r="AH52">
        <v>2</v>
      </c>
      <c r="AI52">
        <v>90163949</v>
      </c>
      <c r="AJ52">
        <v>57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</row>
    <row r="53" spans="1:44" x14ac:dyDescent="0.2">
      <c r="A53">
        <f>ROW(Source!A171)</f>
        <v>171</v>
      </c>
      <c r="B53">
        <v>90163956</v>
      </c>
      <c r="C53">
        <v>90163952</v>
      </c>
      <c r="D53">
        <v>7157835</v>
      </c>
      <c r="E53">
        <v>7157832</v>
      </c>
      <c r="F53">
        <v>1</v>
      </c>
      <c r="G53">
        <v>7157832</v>
      </c>
      <c r="H53">
        <v>1</v>
      </c>
      <c r="I53" t="s">
        <v>276</v>
      </c>
      <c r="J53" t="s">
        <v>3</v>
      </c>
      <c r="K53" t="s">
        <v>277</v>
      </c>
      <c r="L53">
        <v>1191</v>
      </c>
      <c r="N53">
        <v>1013</v>
      </c>
      <c r="O53" t="s">
        <v>278</v>
      </c>
      <c r="P53" t="s">
        <v>278</v>
      </c>
      <c r="Q53">
        <v>1</v>
      </c>
      <c r="X53">
        <v>1.38</v>
      </c>
      <c r="Y53">
        <v>0</v>
      </c>
      <c r="Z53">
        <v>0</v>
      </c>
      <c r="AA53">
        <v>0</v>
      </c>
      <c r="AB53">
        <v>0</v>
      </c>
      <c r="AC53">
        <v>0</v>
      </c>
      <c r="AD53">
        <v>1</v>
      </c>
      <c r="AE53">
        <v>1</v>
      </c>
      <c r="AF53" t="s">
        <v>3</v>
      </c>
      <c r="AG53">
        <v>1.38</v>
      </c>
      <c r="AH53">
        <v>2</v>
      </c>
      <c r="AI53">
        <v>90163953</v>
      </c>
      <c r="AJ53">
        <v>58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</row>
    <row r="54" spans="1:44" x14ac:dyDescent="0.2">
      <c r="A54">
        <f>ROW(Source!A171)</f>
        <v>171</v>
      </c>
      <c r="B54">
        <v>90163957</v>
      </c>
      <c r="C54">
        <v>90163952</v>
      </c>
      <c r="D54">
        <v>7230725</v>
      </c>
      <c r="E54">
        <v>1</v>
      </c>
      <c r="F54">
        <v>1</v>
      </c>
      <c r="G54">
        <v>7157832</v>
      </c>
      <c r="H54">
        <v>2</v>
      </c>
      <c r="I54" t="s">
        <v>308</v>
      </c>
      <c r="J54" t="s">
        <v>309</v>
      </c>
      <c r="K54" t="s">
        <v>310</v>
      </c>
      <c r="L54">
        <v>1368</v>
      </c>
      <c r="N54">
        <v>1011</v>
      </c>
      <c r="O54" t="s">
        <v>286</v>
      </c>
      <c r="P54" t="s">
        <v>286</v>
      </c>
      <c r="Q54">
        <v>1</v>
      </c>
      <c r="X54">
        <v>3.9874999999999998</v>
      </c>
      <c r="Y54">
        <v>0</v>
      </c>
      <c r="Z54">
        <v>162.4</v>
      </c>
      <c r="AA54">
        <v>28.6</v>
      </c>
      <c r="AB54">
        <v>0</v>
      </c>
      <c r="AC54">
        <v>0</v>
      </c>
      <c r="AD54">
        <v>1</v>
      </c>
      <c r="AE54">
        <v>0</v>
      </c>
      <c r="AF54" t="s">
        <v>3</v>
      </c>
      <c r="AG54">
        <v>3.9874999999999998</v>
      </c>
      <c r="AH54">
        <v>2</v>
      </c>
      <c r="AI54">
        <v>90163954</v>
      </c>
      <c r="AJ54">
        <v>59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</row>
    <row r="55" spans="1:44" x14ac:dyDescent="0.2">
      <c r="A55">
        <f>ROW(Source!A171)</f>
        <v>171</v>
      </c>
      <c r="B55">
        <v>90163958</v>
      </c>
      <c r="C55">
        <v>90163952</v>
      </c>
      <c r="D55">
        <v>7230750</v>
      </c>
      <c r="E55">
        <v>1</v>
      </c>
      <c r="F55">
        <v>1</v>
      </c>
      <c r="G55">
        <v>7157832</v>
      </c>
      <c r="H55">
        <v>2</v>
      </c>
      <c r="I55" t="s">
        <v>311</v>
      </c>
      <c r="J55" t="s">
        <v>312</v>
      </c>
      <c r="K55" t="s">
        <v>313</v>
      </c>
      <c r="L55">
        <v>1368</v>
      </c>
      <c r="N55">
        <v>1011</v>
      </c>
      <c r="O55" t="s">
        <v>286</v>
      </c>
      <c r="P55" t="s">
        <v>286</v>
      </c>
      <c r="Q55">
        <v>1</v>
      </c>
      <c r="X55">
        <v>0.997</v>
      </c>
      <c r="Y55">
        <v>0</v>
      </c>
      <c r="Z55">
        <v>110.31</v>
      </c>
      <c r="AA55">
        <v>26.52</v>
      </c>
      <c r="AB55">
        <v>0</v>
      </c>
      <c r="AC55">
        <v>0</v>
      </c>
      <c r="AD55">
        <v>1</v>
      </c>
      <c r="AE55">
        <v>0</v>
      </c>
      <c r="AF55" t="s">
        <v>3</v>
      </c>
      <c r="AG55">
        <v>0.997</v>
      </c>
      <c r="AH55">
        <v>2</v>
      </c>
      <c r="AI55">
        <v>90163955</v>
      </c>
      <c r="AJ55">
        <v>60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</row>
    <row r="56" spans="1:44" x14ac:dyDescent="0.2">
      <c r="A56">
        <f>ROW(Source!A207)</f>
        <v>207</v>
      </c>
      <c r="B56">
        <v>90173017</v>
      </c>
      <c r="C56">
        <v>90164012</v>
      </c>
      <c r="D56">
        <v>7157835</v>
      </c>
      <c r="E56">
        <v>7157832</v>
      </c>
      <c r="F56">
        <v>1</v>
      </c>
      <c r="G56">
        <v>7157832</v>
      </c>
      <c r="H56">
        <v>1</v>
      </c>
      <c r="I56" t="s">
        <v>276</v>
      </c>
      <c r="J56" t="s">
        <v>3</v>
      </c>
      <c r="K56" t="s">
        <v>277</v>
      </c>
      <c r="L56">
        <v>1191</v>
      </c>
      <c r="N56">
        <v>1013</v>
      </c>
      <c r="O56" t="s">
        <v>278</v>
      </c>
      <c r="P56" t="s">
        <v>278</v>
      </c>
      <c r="Q56">
        <v>1</v>
      </c>
      <c r="X56">
        <v>1010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1</v>
      </c>
      <c r="AE56">
        <v>1</v>
      </c>
      <c r="AF56" t="s">
        <v>249</v>
      </c>
      <c r="AG56">
        <v>696.9</v>
      </c>
      <c r="AH56">
        <v>2</v>
      </c>
      <c r="AI56">
        <v>90173017</v>
      </c>
      <c r="AJ56">
        <v>61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</row>
    <row r="57" spans="1:44" x14ac:dyDescent="0.2">
      <c r="A57">
        <f>ROW(Source!A207)</f>
        <v>207</v>
      </c>
      <c r="B57">
        <v>90173018</v>
      </c>
      <c r="C57">
        <v>90164012</v>
      </c>
      <c r="D57">
        <v>7231131</v>
      </c>
      <c r="E57">
        <v>1</v>
      </c>
      <c r="F57">
        <v>1</v>
      </c>
      <c r="G57">
        <v>7157832</v>
      </c>
      <c r="H57">
        <v>2</v>
      </c>
      <c r="I57" t="s">
        <v>349</v>
      </c>
      <c r="J57" t="s">
        <v>350</v>
      </c>
      <c r="K57" t="s">
        <v>351</v>
      </c>
      <c r="L57">
        <v>1368</v>
      </c>
      <c r="N57">
        <v>1011</v>
      </c>
      <c r="O57" t="s">
        <v>286</v>
      </c>
      <c r="P57" t="s">
        <v>286</v>
      </c>
      <c r="Q57">
        <v>1</v>
      </c>
      <c r="X57">
        <v>20</v>
      </c>
      <c r="Y57">
        <v>0</v>
      </c>
      <c r="Z57">
        <v>105.81</v>
      </c>
      <c r="AA57">
        <v>18.78</v>
      </c>
      <c r="AB57">
        <v>0</v>
      </c>
      <c r="AC57">
        <v>0</v>
      </c>
      <c r="AD57">
        <v>1</v>
      </c>
      <c r="AE57">
        <v>0</v>
      </c>
      <c r="AF57" t="s">
        <v>249</v>
      </c>
      <c r="AG57">
        <v>13.799999999999999</v>
      </c>
      <c r="AH57">
        <v>2</v>
      </c>
      <c r="AI57">
        <v>90173018</v>
      </c>
      <c r="AJ57">
        <v>62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</row>
    <row r="58" spans="1:44" x14ac:dyDescent="0.2">
      <c r="A58">
        <f>ROW(Source!A207)</f>
        <v>207</v>
      </c>
      <c r="B58">
        <v>90173019</v>
      </c>
      <c r="C58">
        <v>90164012</v>
      </c>
      <c r="D58">
        <v>7231208</v>
      </c>
      <c r="E58">
        <v>1</v>
      </c>
      <c r="F58">
        <v>1</v>
      </c>
      <c r="G58">
        <v>7157832</v>
      </c>
      <c r="H58">
        <v>2</v>
      </c>
      <c r="I58" t="s">
        <v>352</v>
      </c>
      <c r="J58" t="s">
        <v>353</v>
      </c>
      <c r="K58" t="s">
        <v>354</v>
      </c>
      <c r="L58">
        <v>1368</v>
      </c>
      <c r="N58">
        <v>1011</v>
      </c>
      <c r="O58" t="s">
        <v>286</v>
      </c>
      <c r="P58" t="s">
        <v>286</v>
      </c>
      <c r="Q58">
        <v>1</v>
      </c>
      <c r="X58">
        <v>306</v>
      </c>
      <c r="Y58">
        <v>0</v>
      </c>
      <c r="Z58">
        <v>36.770000000000003</v>
      </c>
      <c r="AA58">
        <v>2.63</v>
      </c>
      <c r="AB58">
        <v>0</v>
      </c>
      <c r="AC58">
        <v>0</v>
      </c>
      <c r="AD58">
        <v>1</v>
      </c>
      <c r="AE58">
        <v>0</v>
      </c>
      <c r="AF58" t="s">
        <v>249</v>
      </c>
      <c r="AG58">
        <v>211.14</v>
      </c>
      <c r="AH58">
        <v>2</v>
      </c>
      <c r="AI58">
        <v>90173019</v>
      </c>
      <c r="AJ58">
        <v>63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</row>
    <row r="59" spans="1:44" x14ac:dyDescent="0.2">
      <c r="A59">
        <f>ROW(Source!A207)</f>
        <v>207</v>
      </c>
      <c r="B59">
        <v>90173020</v>
      </c>
      <c r="C59">
        <v>90164012</v>
      </c>
      <c r="D59">
        <v>7231318</v>
      </c>
      <c r="E59">
        <v>1</v>
      </c>
      <c r="F59">
        <v>1</v>
      </c>
      <c r="G59">
        <v>7157832</v>
      </c>
      <c r="H59">
        <v>2</v>
      </c>
      <c r="I59" t="s">
        <v>355</v>
      </c>
      <c r="J59" t="s">
        <v>356</v>
      </c>
      <c r="K59" t="s">
        <v>357</v>
      </c>
      <c r="L59">
        <v>1368</v>
      </c>
      <c r="N59">
        <v>1011</v>
      </c>
      <c r="O59" t="s">
        <v>286</v>
      </c>
      <c r="P59" t="s">
        <v>286</v>
      </c>
      <c r="Q59">
        <v>1</v>
      </c>
      <c r="X59">
        <v>39.799999999999997</v>
      </c>
      <c r="Y59">
        <v>0</v>
      </c>
      <c r="Z59">
        <v>136.19999999999999</v>
      </c>
      <c r="AA59">
        <v>22.19</v>
      </c>
      <c r="AB59">
        <v>0</v>
      </c>
      <c r="AC59">
        <v>0</v>
      </c>
      <c r="AD59">
        <v>1</v>
      </c>
      <c r="AE59">
        <v>0</v>
      </c>
      <c r="AF59" t="s">
        <v>249</v>
      </c>
      <c r="AG59">
        <v>27.461999999999996</v>
      </c>
      <c r="AH59">
        <v>2</v>
      </c>
      <c r="AI59">
        <v>90173020</v>
      </c>
      <c r="AJ59">
        <v>64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</row>
    <row r="60" spans="1:44" x14ac:dyDescent="0.2">
      <c r="A60">
        <f>ROW(Source!A207)</f>
        <v>207</v>
      </c>
      <c r="B60">
        <v>90173021</v>
      </c>
      <c r="C60">
        <v>90164012</v>
      </c>
      <c r="D60">
        <v>7231421</v>
      </c>
      <c r="E60">
        <v>1</v>
      </c>
      <c r="F60">
        <v>1</v>
      </c>
      <c r="G60">
        <v>7157832</v>
      </c>
      <c r="H60">
        <v>2</v>
      </c>
      <c r="I60" t="s">
        <v>293</v>
      </c>
      <c r="J60" t="s">
        <v>294</v>
      </c>
      <c r="K60" t="s">
        <v>295</v>
      </c>
      <c r="L60">
        <v>1368</v>
      </c>
      <c r="N60">
        <v>1011</v>
      </c>
      <c r="O60" t="s">
        <v>286</v>
      </c>
      <c r="P60" t="s">
        <v>286</v>
      </c>
      <c r="Q60">
        <v>1</v>
      </c>
      <c r="X60">
        <v>1.02</v>
      </c>
      <c r="Y60">
        <v>0</v>
      </c>
      <c r="Z60">
        <v>74.44</v>
      </c>
      <c r="AA60">
        <v>17.59</v>
      </c>
      <c r="AB60">
        <v>0</v>
      </c>
      <c r="AC60">
        <v>0</v>
      </c>
      <c r="AD60">
        <v>1</v>
      </c>
      <c r="AE60">
        <v>0</v>
      </c>
      <c r="AF60" t="s">
        <v>249</v>
      </c>
      <c r="AG60">
        <v>0.70379999999999987</v>
      </c>
      <c r="AH60">
        <v>2</v>
      </c>
      <c r="AI60">
        <v>90173021</v>
      </c>
      <c r="AJ60">
        <v>65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</row>
    <row r="61" spans="1:44" x14ac:dyDescent="0.2">
      <c r="A61">
        <f>ROW(Source!A207)</f>
        <v>207</v>
      </c>
      <c r="B61">
        <v>90173023</v>
      </c>
      <c r="C61">
        <v>90164012</v>
      </c>
      <c r="D61">
        <v>7231457</v>
      </c>
      <c r="E61">
        <v>1</v>
      </c>
      <c r="F61">
        <v>1</v>
      </c>
      <c r="G61">
        <v>7157832</v>
      </c>
      <c r="H61">
        <v>2</v>
      </c>
      <c r="I61" t="s">
        <v>358</v>
      </c>
      <c r="J61" t="s">
        <v>359</v>
      </c>
      <c r="K61" t="s">
        <v>360</v>
      </c>
      <c r="L61">
        <v>1368</v>
      </c>
      <c r="N61">
        <v>1011</v>
      </c>
      <c r="O61" t="s">
        <v>286</v>
      </c>
      <c r="P61" t="s">
        <v>286</v>
      </c>
      <c r="Q61">
        <v>1</v>
      </c>
      <c r="X61">
        <v>66</v>
      </c>
      <c r="Y61">
        <v>0</v>
      </c>
      <c r="Z61">
        <v>0.68</v>
      </c>
      <c r="AA61">
        <v>0.04</v>
      </c>
      <c r="AB61">
        <v>0</v>
      </c>
      <c r="AC61">
        <v>0</v>
      </c>
      <c r="AD61">
        <v>1</v>
      </c>
      <c r="AE61">
        <v>0</v>
      </c>
      <c r="AF61" t="s">
        <v>249</v>
      </c>
      <c r="AG61">
        <v>45.539999999999992</v>
      </c>
      <c r="AH61">
        <v>2</v>
      </c>
      <c r="AI61">
        <v>90173023</v>
      </c>
      <c r="AJ61">
        <v>66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</row>
    <row r="62" spans="1:44" x14ac:dyDescent="0.2">
      <c r="A62">
        <f>ROW(Source!A207)</f>
        <v>207</v>
      </c>
      <c r="B62">
        <v>90173024</v>
      </c>
      <c r="C62">
        <v>90164012</v>
      </c>
      <c r="D62">
        <v>7231483</v>
      </c>
      <c r="E62">
        <v>1</v>
      </c>
      <c r="F62">
        <v>1</v>
      </c>
      <c r="G62">
        <v>7157832</v>
      </c>
      <c r="H62">
        <v>2</v>
      </c>
      <c r="I62" t="s">
        <v>361</v>
      </c>
      <c r="J62" t="s">
        <v>362</v>
      </c>
      <c r="K62" t="s">
        <v>363</v>
      </c>
      <c r="L62">
        <v>1368</v>
      </c>
      <c r="N62">
        <v>1011</v>
      </c>
      <c r="O62" t="s">
        <v>286</v>
      </c>
      <c r="P62" t="s">
        <v>286</v>
      </c>
      <c r="Q62">
        <v>1</v>
      </c>
      <c r="X62">
        <v>10</v>
      </c>
      <c r="Y62">
        <v>0</v>
      </c>
      <c r="Z62">
        <v>2.58</v>
      </c>
      <c r="AA62">
        <v>0.04</v>
      </c>
      <c r="AB62">
        <v>0</v>
      </c>
      <c r="AC62">
        <v>0</v>
      </c>
      <c r="AD62">
        <v>1</v>
      </c>
      <c r="AE62">
        <v>0</v>
      </c>
      <c r="AF62" t="s">
        <v>249</v>
      </c>
      <c r="AG62">
        <v>6.8999999999999995</v>
      </c>
      <c r="AH62">
        <v>2</v>
      </c>
      <c r="AI62">
        <v>90173024</v>
      </c>
      <c r="AJ62">
        <v>67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</row>
    <row r="63" spans="1:44" x14ac:dyDescent="0.2">
      <c r="A63">
        <f>ROW(Source!A207)</f>
        <v>207</v>
      </c>
      <c r="B63">
        <v>90173022</v>
      </c>
      <c r="C63">
        <v>90164012</v>
      </c>
      <c r="D63">
        <v>7230811</v>
      </c>
      <c r="E63">
        <v>1</v>
      </c>
      <c r="F63">
        <v>1</v>
      </c>
      <c r="G63">
        <v>7157832</v>
      </c>
      <c r="H63">
        <v>2</v>
      </c>
      <c r="I63" t="s">
        <v>317</v>
      </c>
      <c r="J63" t="s">
        <v>318</v>
      </c>
      <c r="K63" t="s">
        <v>319</v>
      </c>
      <c r="L63">
        <v>1368</v>
      </c>
      <c r="N63">
        <v>1011</v>
      </c>
      <c r="O63" t="s">
        <v>286</v>
      </c>
      <c r="P63" t="s">
        <v>286</v>
      </c>
      <c r="Q63">
        <v>1</v>
      </c>
      <c r="X63">
        <v>108</v>
      </c>
      <c r="Y63">
        <v>0</v>
      </c>
      <c r="Z63">
        <v>102.11</v>
      </c>
      <c r="AA63">
        <v>30.03</v>
      </c>
      <c r="AB63">
        <v>0</v>
      </c>
      <c r="AC63">
        <v>0</v>
      </c>
      <c r="AD63">
        <v>1</v>
      </c>
      <c r="AE63">
        <v>0</v>
      </c>
      <c r="AF63" t="s">
        <v>249</v>
      </c>
      <c r="AG63">
        <v>74.52</v>
      </c>
      <c r="AH63">
        <v>2</v>
      </c>
      <c r="AI63">
        <v>90173022</v>
      </c>
      <c r="AJ63">
        <v>68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</row>
    <row r="64" spans="1:44" x14ac:dyDescent="0.2">
      <c r="A64">
        <f>ROW(Source!A207)</f>
        <v>207</v>
      </c>
      <c r="B64">
        <v>90173025</v>
      </c>
      <c r="C64">
        <v>90164012</v>
      </c>
      <c r="D64">
        <v>7231827</v>
      </c>
      <c r="E64">
        <v>1</v>
      </c>
      <c r="F64">
        <v>1</v>
      </c>
      <c r="G64">
        <v>7157832</v>
      </c>
      <c r="H64">
        <v>3</v>
      </c>
      <c r="I64" t="s">
        <v>364</v>
      </c>
      <c r="J64" t="s">
        <v>365</v>
      </c>
      <c r="K64" t="s">
        <v>366</v>
      </c>
      <c r="L64">
        <v>1339</v>
      </c>
      <c r="N64">
        <v>1007</v>
      </c>
      <c r="O64" t="s">
        <v>30</v>
      </c>
      <c r="P64" t="s">
        <v>30</v>
      </c>
      <c r="Q64">
        <v>1</v>
      </c>
      <c r="X64">
        <v>666</v>
      </c>
      <c r="Y64">
        <v>7.07</v>
      </c>
      <c r="Z64">
        <v>0</v>
      </c>
      <c r="AA64">
        <v>0</v>
      </c>
      <c r="AB64">
        <v>0</v>
      </c>
      <c r="AC64">
        <v>0</v>
      </c>
      <c r="AD64">
        <v>1</v>
      </c>
      <c r="AE64">
        <v>0</v>
      </c>
      <c r="AF64" t="s">
        <v>164</v>
      </c>
      <c r="AG64">
        <v>0</v>
      </c>
      <c r="AH64">
        <v>2</v>
      </c>
      <c r="AI64">
        <v>90173025</v>
      </c>
      <c r="AJ64">
        <v>69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</row>
    <row r="65" spans="1:44" x14ac:dyDescent="0.2">
      <c r="A65">
        <f>ROW(Source!A207)</f>
        <v>207</v>
      </c>
      <c r="B65">
        <v>90173026</v>
      </c>
      <c r="C65">
        <v>90164012</v>
      </c>
      <c r="D65">
        <v>7233230</v>
      </c>
      <c r="E65">
        <v>1</v>
      </c>
      <c r="F65">
        <v>1</v>
      </c>
      <c r="G65">
        <v>7157832</v>
      </c>
      <c r="H65">
        <v>3</v>
      </c>
      <c r="I65" t="s">
        <v>328</v>
      </c>
      <c r="J65" t="s">
        <v>329</v>
      </c>
      <c r="K65" t="s">
        <v>330</v>
      </c>
      <c r="L65">
        <v>1348</v>
      </c>
      <c r="N65">
        <v>1009</v>
      </c>
      <c r="O65" t="s">
        <v>39</v>
      </c>
      <c r="P65" t="s">
        <v>39</v>
      </c>
      <c r="Q65">
        <v>1000</v>
      </c>
      <c r="X65">
        <v>0.32500000000000001</v>
      </c>
      <c r="Y65">
        <v>7191.81</v>
      </c>
      <c r="Z65">
        <v>0</v>
      </c>
      <c r="AA65">
        <v>0</v>
      </c>
      <c r="AB65">
        <v>0</v>
      </c>
      <c r="AC65">
        <v>0</v>
      </c>
      <c r="AD65">
        <v>1</v>
      </c>
      <c r="AE65">
        <v>0</v>
      </c>
      <c r="AF65" t="s">
        <v>164</v>
      </c>
      <c r="AG65">
        <v>0</v>
      </c>
      <c r="AH65">
        <v>2</v>
      </c>
      <c r="AI65">
        <v>90173026</v>
      </c>
      <c r="AJ65">
        <v>70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</row>
    <row r="66" spans="1:44" x14ac:dyDescent="0.2">
      <c r="A66">
        <f>ROW(Source!A207)</f>
        <v>207</v>
      </c>
      <c r="B66">
        <v>90173027</v>
      </c>
      <c r="C66">
        <v>90164012</v>
      </c>
      <c r="D66">
        <v>7233263</v>
      </c>
      <c r="E66">
        <v>1</v>
      </c>
      <c r="F66">
        <v>1</v>
      </c>
      <c r="G66">
        <v>7157832</v>
      </c>
      <c r="H66">
        <v>3</v>
      </c>
      <c r="I66" t="s">
        <v>367</v>
      </c>
      <c r="J66" t="s">
        <v>368</v>
      </c>
      <c r="K66" t="s">
        <v>369</v>
      </c>
      <c r="L66">
        <v>1354</v>
      </c>
      <c r="N66">
        <v>16987630</v>
      </c>
      <c r="O66" t="s">
        <v>342</v>
      </c>
      <c r="P66" t="s">
        <v>342</v>
      </c>
      <c r="Q66">
        <v>1</v>
      </c>
      <c r="X66">
        <v>6.6</v>
      </c>
      <c r="Y66">
        <v>13.76</v>
      </c>
      <c r="Z66">
        <v>0</v>
      </c>
      <c r="AA66">
        <v>0</v>
      </c>
      <c r="AB66">
        <v>0</v>
      </c>
      <c r="AC66">
        <v>0</v>
      </c>
      <c r="AD66">
        <v>1</v>
      </c>
      <c r="AE66">
        <v>0</v>
      </c>
      <c r="AF66" t="s">
        <v>164</v>
      </c>
      <c r="AG66">
        <v>0</v>
      </c>
      <c r="AH66">
        <v>2</v>
      </c>
      <c r="AI66">
        <v>90173027</v>
      </c>
      <c r="AJ66">
        <v>71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</row>
    <row r="67" spans="1:44" x14ac:dyDescent="0.2">
      <c r="A67">
        <f>ROW(Source!A207)</f>
        <v>207</v>
      </c>
      <c r="B67">
        <v>90173028</v>
      </c>
      <c r="C67">
        <v>90164012</v>
      </c>
      <c r="D67">
        <v>7231970</v>
      </c>
      <c r="E67">
        <v>1</v>
      </c>
      <c r="F67">
        <v>1</v>
      </c>
      <c r="G67">
        <v>7157832</v>
      </c>
      <c r="H67">
        <v>3</v>
      </c>
      <c r="I67" t="s">
        <v>370</v>
      </c>
      <c r="J67" t="s">
        <v>371</v>
      </c>
      <c r="K67" t="s">
        <v>372</v>
      </c>
      <c r="L67">
        <v>1348</v>
      </c>
      <c r="N67">
        <v>1009</v>
      </c>
      <c r="O67" t="s">
        <v>39</v>
      </c>
      <c r="P67" t="s">
        <v>39</v>
      </c>
      <c r="Q67">
        <v>1000</v>
      </c>
      <c r="X67">
        <v>0.04</v>
      </c>
      <c r="Y67">
        <v>3246.35</v>
      </c>
      <c r="Z67">
        <v>0</v>
      </c>
      <c r="AA67">
        <v>0</v>
      </c>
      <c r="AB67">
        <v>0</v>
      </c>
      <c r="AC67">
        <v>0</v>
      </c>
      <c r="AD67">
        <v>1</v>
      </c>
      <c r="AE67">
        <v>0</v>
      </c>
      <c r="AF67" t="s">
        <v>164</v>
      </c>
      <c r="AG67">
        <v>0</v>
      </c>
      <c r="AH67">
        <v>2</v>
      </c>
      <c r="AI67">
        <v>90173028</v>
      </c>
      <c r="AJ67">
        <v>72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</row>
    <row r="68" spans="1:44" x14ac:dyDescent="0.2">
      <c r="A68">
        <f>ROW(Source!A207)</f>
        <v>207</v>
      </c>
      <c r="B68">
        <v>90173029</v>
      </c>
      <c r="C68">
        <v>90164012</v>
      </c>
      <c r="D68">
        <v>7243314</v>
      </c>
      <c r="E68">
        <v>1</v>
      </c>
      <c r="F68">
        <v>1</v>
      </c>
      <c r="G68">
        <v>7157832</v>
      </c>
      <c r="H68">
        <v>3</v>
      </c>
      <c r="I68" t="s">
        <v>373</v>
      </c>
      <c r="J68" t="s">
        <v>374</v>
      </c>
      <c r="K68" t="s">
        <v>375</v>
      </c>
      <c r="L68">
        <v>1035</v>
      </c>
      <c r="N68">
        <v>1013</v>
      </c>
      <c r="O68" t="s">
        <v>58</v>
      </c>
      <c r="P68" t="s">
        <v>58</v>
      </c>
      <c r="Q68">
        <v>1</v>
      </c>
      <c r="X68">
        <v>5</v>
      </c>
      <c r="Y68">
        <v>88.7</v>
      </c>
      <c r="Z68">
        <v>0</v>
      </c>
      <c r="AA68">
        <v>0</v>
      </c>
      <c r="AB68">
        <v>0</v>
      </c>
      <c r="AC68">
        <v>0</v>
      </c>
      <c r="AD68">
        <v>1</v>
      </c>
      <c r="AE68">
        <v>0</v>
      </c>
      <c r="AF68" t="s">
        <v>164</v>
      </c>
      <c r="AG68">
        <v>0</v>
      </c>
      <c r="AH68">
        <v>2</v>
      </c>
      <c r="AI68">
        <v>90173029</v>
      </c>
      <c r="AJ68">
        <v>73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</row>
    <row r="69" spans="1:44" x14ac:dyDescent="0.2">
      <c r="A69">
        <f>ROW(Source!A207)</f>
        <v>207</v>
      </c>
      <c r="B69">
        <v>90173030</v>
      </c>
      <c r="C69">
        <v>90164012</v>
      </c>
      <c r="D69">
        <v>7243318</v>
      </c>
      <c r="E69">
        <v>1</v>
      </c>
      <c r="F69">
        <v>1</v>
      </c>
      <c r="G69">
        <v>7157832</v>
      </c>
      <c r="H69">
        <v>3</v>
      </c>
      <c r="I69" t="s">
        <v>376</v>
      </c>
      <c r="J69" t="s">
        <v>377</v>
      </c>
      <c r="K69" t="s">
        <v>378</v>
      </c>
      <c r="L69">
        <v>1035</v>
      </c>
      <c r="N69">
        <v>1013</v>
      </c>
      <c r="O69" t="s">
        <v>58</v>
      </c>
      <c r="P69" t="s">
        <v>58</v>
      </c>
      <c r="Q69">
        <v>1</v>
      </c>
      <c r="X69">
        <v>4</v>
      </c>
      <c r="Y69">
        <v>207.77</v>
      </c>
      <c r="Z69">
        <v>0</v>
      </c>
      <c r="AA69">
        <v>0</v>
      </c>
      <c r="AB69">
        <v>0</v>
      </c>
      <c r="AC69">
        <v>0</v>
      </c>
      <c r="AD69">
        <v>1</v>
      </c>
      <c r="AE69">
        <v>0</v>
      </c>
      <c r="AF69" t="s">
        <v>164</v>
      </c>
      <c r="AG69">
        <v>0</v>
      </c>
      <c r="AH69">
        <v>2</v>
      </c>
      <c r="AI69">
        <v>90173030</v>
      </c>
      <c r="AJ69">
        <v>74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</row>
    <row r="70" spans="1:44" x14ac:dyDescent="0.2">
      <c r="A70">
        <f>ROW(Source!A207)</f>
        <v>207</v>
      </c>
      <c r="B70">
        <v>90173031</v>
      </c>
      <c r="C70">
        <v>90164012</v>
      </c>
      <c r="D70">
        <v>7243926</v>
      </c>
      <c r="E70">
        <v>1</v>
      </c>
      <c r="F70">
        <v>1</v>
      </c>
      <c r="G70">
        <v>7157832</v>
      </c>
      <c r="H70">
        <v>3</v>
      </c>
      <c r="I70" t="s">
        <v>379</v>
      </c>
      <c r="J70" t="s">
        <v>380</v>
      </c>
      <c r="K70" t="s">
        <v>381</v>
      </c>
      <c r="L70">
        <v>1354</v>
      </c>
      <c r="N70">
        <v>16987630</v>
      </c>
      <c r="O70" t="s">
        <v>342</v>
      </c>
      <c r="P70" t="s">
        <v>342</v>
      </c>
      <c r="Q70">
        <v>1</v>
      </c>
      <c r="X70">
        <v>5</v>
      </c>
      <c r="Y70">
        <v>1008.34</v>
      </c>
      <c r="Z70">
        <v>0</v>
      </c>
      <c r="AA70">
        <v>0</v>
      </c>
      <c r="AB70">
        <v>0</v>
      </c>
      <c r="AC70">
        <v>0</v>
      </c>
      <c r="AD70">
        <v>1</v>
      </c>
      <c r="AE70">
        <v>0</v>
      </c>
      <c r="AF70" t="s">
        <v>164</v>
      </c>
      <c r="AG70">
        <v>0</v>
      </c>
      <c r="AH70">
        <v>2</v>
      </c>
      <c r="AI70">
        <v>90173031</v>
      </c>
      <c r="AJ70">
        <v>75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</row>
    <row r="71" spans="1:44" x14ac:dyDescent="0.2">
      <c r="A71">
        <f>ROW(Source!A207)</f>
        <v>207</v>
      </c>
      <c r="B71">
        <v>90173032</v>
      </c>
      <c r="C71">
        <v>90164012</v>
      </c>
      <c r="D71">
        <v>7160056</v>
      </c>
      <c r="E71">
        <v>7157832</v>
      </c>
      <c r="F71">
        <v>1</v>
      </c>
      <c r="G71">
        <v>7157832</v>
      </c>
      <c r="H71">
        <v>3</v>
      </c>
      <c r="I71" t="s">
        <v>382</v>
      </c>
      <c r="J71" t="s">
        <v>3</v>
      </c>
      <c r="K71" t="s">
        <v>383</v>
      </c>
      <c r="L71">
        <v>1301</v>
      </c>
      <c r="N71">
        <v>1003</v>
      </c>
      <c r="O71" t="s">
        <v>18</v>
      </c>
      <c r="P71" t="s">
        <v>18</v>
      </c>
      <c r="Q71">
        <v>1</v>
      </c>
      <c r="X71">
        <v>1000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 t="s">
        <v>164</v>
      </c>
      <c r="AG71">
        <v>0</v>
      </c>
      <c r="AH71">
        <v>2</v>
      </c>
      <c r="AI71">
        <v>90173032</v>
      </c>
      <c r="AJ71">
        <v>76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</row>
    <row r="72" spans="1:44" x14ac:dyDescent="0.2">
      <c r="A72">
        <f>ROW(Source!A207)</f>
        <v>207</v>
      </c>
      <c r="B72">
        <v>90173033</v>
      </c>
      <c r="C72">
        <v>90164012</v>
      </c>
      <c r="D72">
        <v>7161464</v>
      </c>
      <c r="E72">
        <v>7157832</v>
      </c>
      <c r="F72">
        <v>1</v>
      </c>
      <c r="G72">
        <v>7157832</v>
      </c>
      <c r="H72">
        <v>3</v>
      </c>
      <c r="I72" t="s">
        <v>384</v>
      </c>
      <c r="J72" t="s">
        <v>3</v>
      </c>
      <c r="K72" t="s">
        <v>385</v>
      </c>
      <c r="L72">
        <v>1348</v>
      </c>
      <c r="N72">
        <v>1009</v>
      </c>
      <c r="O72" t="s">
        <v>39</v>
      </c>
      <c r="P72" t="s">
        <v>39</v>
      </c>
      <c r="Q72">
        <v>1000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 t="s">
        <v>164</v>
      </c>
      <c r="AG72">
        <v>0</v>
      </c>
      <c r="AH72">
        <v>2</v>
      </c>
      <c r="AI72">
        <v>90173033</v>
      </c>
      <c r="AJ72">
        <v>77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</row>
    <row r="73" spans="1:44" x14ac:dyDescent="0.2">
      <c r="A73">
        <f>ROW(Source!A207)</f>
        <v>207</v>
      </c>
      <c r="B73">
        <v>90173034</v>
      </c>
      <c r="C73">
        <v>90164012</v>
      </c>
      <c r="D73">
        <v>7170582</v>
      </c>
      <c r="E73">
        <v>7157832</v>
      </c>
      <c r="F73">
        <v>1</v>
      </c>
      <c r="G73">
        <v>7157832</v>
      </c>
      <c r="H73">
        <v>3</v>
      </c>
      <c r="I73" t="s">
        <v>386</v>
      </c>
      <c r="J73" t="s">
        <v>3</v>
      </c>
      <c r="K73" t="s">
        <v>387</v>
      </c>
      <c r="L73">
        <v>1354</v>
      </c>
      <c r="N73">
        <v>16987630</v>
      </c>
      <c r="O73" t="s">
        <v>342</v>
      </c>
      <c r="P73" t="s">
        <v>342</v>
      </c>
      <c r="Q73">
        <v>1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 t="s">
        <v>164</v>
      </c>
      <c r="AG73">
        <v>0</v>
      </c>
      <c r="AH73">
        <v>2</v>
      </c>
      <c r="AI73">
        <v>90173034</v>
      </c>
      <c r="AJ73">
        <v>78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</row>
    <row r="74" spans="1:44" x14ac:dyDescent="0.2">
      <c r="A74">
        <f>ROW(Source!A207)</f>
        <v>207</v>
      </c>
      <c r="B74">
        <v>90173035</v>
      </c>
      <c r="C74">
        <v>90164012</v>
      </c>
      <c r="D74">
        <v>7174751</v>
      </c>
      <c r="E74">
        <v>7157832</v>
      </c>
      <c r="F74">
        <v>1</v>
      </c>
      <c r="G74">
        <v>7157832</v>
      </c>
      <c r="H74">
        <v>3</v>
      </c>
      <c r="I74" t="s">
        <v>388</v>
      </c>
      <c r="J74" t="s">
        <v>3</v>
      </c>
      <c r="K74" t="s">
        <v>389</v>
      </c>
      <c r="L74">
        <v>1354</v>
      </c>
      <c r="N74">
        <v>16987630</v>
      </c>
      <c r="O74" t="s">
        <v>342</v>
      </c>
      <c r="P74" t="s">
        <v>342</v>
      </c>
      <c r="Q74">
        <v>1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 t="s">
        <v>164</v>
      </c>
      <c r="AG74">
        <v>0</v>
      </c>
      <c r="AH74">
        <v>2</v>
      </c>
      <c r="AI74">
        <v>90173035</v>
      </c>
      <c r="AJ74">
        <v>79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</row>
    <row r="75" spans="1:44" x14ac:dyDescent="0.2">
      <c r="A75">
        <f>ROW(Source!A207)</f>
        <v>207</v>
      </c>
      <c r="B75">
        <v>90173036</v>
      </c>
      <c r="C75">
        <v>90164012</v>
      </c>
      <c r="D75">
        <v>7174770</v>
      </c>
      <c r="E75">
        <v>7157832</v>
      </c>
      <c r="F75">
        <v>1</v>
      </c>
      <c r="G75">
        <v>7157832</v>
      </c>
      <c r="H75">
        <v>3</v>
      </c>
      <c r="I75" t="s">
        <v>390</v>
      </c>
      <c r="J75" t="s">
        <v>3</v>
      </c>
      <c r="K75" t="s">
        <v>391</v>
      </c>
      <c r="L75">
        <v>1354</v>
      </c>
      <c r="N75">
        <v>16987630</v>
      </c>
      <c r="O75" t="s">
        <v>342</v>
      </c>
      <c r="P75" t="s">
        <v>342</v>
      </c>
      <c r="Q75">
        <v>1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 t="s">
        <v>164</v>
      </c>
      <c r="AG75">
        <v>0</v>
      </c>
      <c r="AH75">
        <v>2</v>
      </c>
      <c r="AI75">
        <v>90173036</v>
      </c>
      <c r="AJ75">
        <v>80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</row>
    <row r="76" spans="1:44" x14ac:dyDescent="0.2">
      <c r="A76">
        <f>ROW(Source!A208)</f>
        <v>208</v>
      </c>
      <c r="B76">
        <v>90173057</v>
      </c>
      <c r="C76">
        <v>90173056</v>
      </c>
      <c r="D76">
        <v>7157835</v>
      </c>
      <c r="E76">
        <v>7157832</v>
      </c>
      <c r="F76">
        <v>1</v>
      </c>
      <c r="G76">
        <v>7157832</v>
      </c>
      <c r="H76">
        <v>1</v>
      </c>
      <c r="I76" t="s">
        <v>276</v>
      </c>
      <c r="J76" t="s">
        <v>3</v>
      </c>
      <c r="K76" t="s">
        <v>277</v>
      </c>
      <c r="L76">
        <v>1191</v>
      </c>
      <c r="N76">
        <v>1013</v>
      </c>
      <c r="O76" t="s">
        <v>278</v>
      </c>
      <c r="P76" t="s">
        <v>278</v>
      </c>
      <c r="Q76">
        <v>1</v>
      </c>
      <c r="X76">
        <v>626</v>
      </c>
      <c r="Y76">
        <v>0</v>
      </c>
      <c r="Z76">
        <v>0</v>
      </c>
      <c r="AA76">
        <v>0</v>
      </c>
      <c r="AB76">
        <v>0</v>
      </c>
      <c r="AC76">
        <v>0</v>
      </c>
      <c r="AD76">
        <v>1</v>
      </c>
      <c r="AE76">
        <v>1</v>
      </c>
      <c r="AF76" t="s">
        <v>249</v>
      </c>
      <c r="AG76">
        <v>431.94</v>
      </c>
      <c r="AH76">
        <v>2</v>
      </c>
      <c r="AI76">
        <v>90173057</v>
      </c>
      <c r="AJ76">
        <v>81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</row>
    <row r="77" spans="1:44" x14ac:dyDescent="0.2">
      <c r="A77">
        <f>ROW(Source!A208)</f>
        <v>208</v>
      </c>
      <c r="B77">
        <v>90173058</v>
      </c>
      <c r="C77">
        <v>90173056</v>
      </c>
      <c r="D77">
        <v>7231131</v>
      </c>
      <c r="E77">
        <v>1</v>
      </c>
      <c r="F77">
        <v>1</v>
      </c>
      <c r="G77">
        <v>7157832</v>
      </c>
      <c r="H77">
        <v>2</v>
      </c>
      <c r="I77" t="s">
        <v>349</v>
      </c>
      <c r="J77" t="s">
        <v>350</v>
      </c>
      <c r="K77" t="s">
        <v>351</v>
      </c>
      <c r="L77">
        <v>1368</v>
      </c>
      <c r="N77">
        <v>1011</v>
      </c>
      <c r="O77" t="s">
        <v>286</v>
      </c>
      <c r="P77" t="s">
        <v>286</v>
      </c>
      <c r="Q77">
        <v>1</v>
      </c>
      <c r="X77">
        <v>15</v>
      </c>
      <c r="Y77">
        <v>0</v>
      </c>
      <c r="Z77">
        <v>105.81</v>
      </c>
      <c r="AA77">
        <v>18.78</v>
      </c>
      <c r="AB77">
        <v>0</v>
      </c>
      <c r="AC77">
        <v>0</v>
      </c>
      <c r="AD77">
        <v>1</v>
      </c>
      <c r="AE77">
        <v>0</v>
      </c>
      <c r="AF77" t="s">
        <v>249</v>
      </c>
      <c r="AG77">
        <v>10.35</v>
      </c>
      <c r="AH77">
        <v>2</v>
      </c>
      <c r="AI77">
        <v>90173058</v>
      </c>
      <c r="AJ77">
        <v>82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</row>
    <row r="78" spans="1:44" x14ac:dyDescent="0.2">
      <c r="A78">
        <f>ROW(Source!A208)</f>
        <v>208</v>
      </c>
      <c r="B78">
        <v>90173059</v>
      </c>
      <c r="C78">
        <v>90173056</v>
      </c>
      <c r="D78">
        <v>7231189</v>
      </c>
      <c r="E78">
        <v>1</v>
      </c>
      <c r="F78">
        <v>1</v>
      </c>
      <c r="G78">
        <v>7157832</v>
      </c>
      <c r="H78">
        <v>2</v>
      </c>
      <c r="I78" t="s">
        <v>392</v>
      </c>
      <c r="J78" t="s">
        <v>393</v>
      </c>
      <c r="K78" t="s">
        <v>394</v>
      </c>
      <c r="L78">
        <v>1368</v>
      </c>
      <c r="N78">
        <v>1011</v>
      </c>
      <c r="O78" t="s">
        <v>286</v>
      </c>
      <c r="P78" t="s">
        <v>286</v>
      </c>
      <c r="Q78">
        <v>1</v>
      </c>
      <c r="X78">
        <v>30</v>
      </c>
      <c r="Y78">
        <v>0</v>
      </c>
      <c r="Z78">
        <v>8.1199999999999992</v>
      </c>
      <c r="AA78">
        <v>0.28999999999999998</v>
      </c>
      <c r="AB78">
        <v>0</v>
      </c>
      <c r="AC78">
        <v>0</v>
      </c>
      <c r="AD78">
        <v>1</v>
      </c>
      <c r="AE78">
        <v>0</v>
      </c>
      <c r="AF78" t="s">
        <v>249</v>
      </c>
      <c r="AG78">
        <v>20.7</v>
      </c>
      <c r="AH78">
        <v>2</v>
      </c>
      <c r="AI78">
        <v>90173059</v>
      </c>
      <c r="AJ78">
        <v>83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</row>
    <row r="79" spans="1:44" x14ac:dyDescent="0.2">
      <c r="A79">
        <f>ROW(Source!A208)</f>
        <v>208</v>
      </c>
      <c r="B79">
        <v>90173060</v>
      </c>
      <c r="C79">
        <v>90173056</v>
      </c>
      <c r="D79">
        <v>7231208</v>
      </c>
      <c r="E79">
        <v>1</v>
      </c>
      <c r="F79">
        <v>1</v>
      </c>
      <c r="G79">
        <v>7157832</v>
      </c>
      <c r="H79">
        <v>2</v>
      </c>
      <c r="I79" t="s">
        <v>352</v>
      </c>
      <c r="J79" t="s">
        <v>353</v>
      </c>
      <c r="K79" t="s">
        <v>354</v>
      </c>
      <c r="L79">
        <v>1368</v>
      </c>
      <c r="N79">
        <v>1011</v>
      </c>
      <c r="O79" t="s">
        <v>286</v>
      </c>
      <c r="P79" t="s">
        <v>286</v>
      </c>
      <c r="Q79">
        <v>1</v>
      </c>
      <c r="X79">
        <v>168</v>
      </c>
      <c r="Y79">
        <v>0</v>
      </c>
      <c r="Z79">
        <v>36.770000000000003</v>
      </c>
      <c r="AA79">
        <v>2.63</v>
      </c>
      <c r="AB79">
        <v>0</v>
      </c>
      <c r="AC79">
        <v>0</v>
      </c>
      <c r="AD79">
        <v>1</v>
      </c>
      <c r="AE79">
        <v>0</v>
      </c>
      <c r="AF79" t="s">
        <v>249</v>
      </c>
      <c r="AG79">
        <v>115.91999999999999</v>
      </c>
      <c r="AH79">
        <v>2</v>
      </c>
      <c r="AI79">
        <v>90173060</v>
      </c>
      <c r="AJ79">
        <v>84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</row>
    <row r="80" spans="1:44" x14ac:dyDescent="0.2">
      <c r="A80">
        <f>ROW(Source!A208)</f>
        <v>208</v>
      </c>
      <c r="B80">
        <v>90173061</v>
      </c>
      <c r="C80">
        <v>90173056</v>
      </c>
      <c r="D80">
        <v>7231421</v>
      </c>
      <c r="E80">
        <v>1</v>
      </c>
      <c r="F80">
        <v>1</v>
      </c>
      <c r="G80">
        <v>7157832</v>
      </c>
      <c r="H80">
        <v>2</v>
      </c>
      <c r="I80" t="s">
        <v>293</v>
      </c>
      <c r="J80" t="s">
        <v>294</v>
      </c>
      <c r="K80" t="s">
        <v>295</v>
      </c>
      <c r="L80">
        <v>1368</v>
      </c>
      <c r="N80">
        <v>1011</v>
      </c>
      <c r="O80" t="s">
        <v>286</v>
      </c>
      <c r="P80" t="s">
        <v>286</v>
      </c>
      <c r="Q80">
        <v>1</v>
      </c>
      <c r="X80">
        <v>0.62</v>
      </c>
      <c r="Y80">
        <v>0</v>
      </c>
      <c r="Z80">
        <v>74.44</v>
      </c>
      <c r="AA80">
        <v>17.59</v>
      </c>
      <c r="AB80">
        <v>0</v>
      </c>
      <c r="AC80">
        <v>0</v>
      </c>
      <c r="AD80">
        <v>1</v>
      </c>
      <c r="AE80">
        <v>0</v>
      </c>
      <c r="AF80" t="s">
        <v>249</v>
      </c>
      <c r="AG80">
        <v>0.42779999999999996</v>
      </c>
      <c r="AH80">
        <v>2</v>
      </c>
      <c r="AI80">
        <v>90173061</v>
      </c>
      <c r="AJ80">
        <v>85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</row>
    <row r="81" spans="1:44" x14ac:dyDescent="0.2">
      <c r="A81">
        <f>ROW(Source!A208)</f>
        <v>208</v>
      </c>
      <c r="B81">
        <v>90173063</v>
      </c>
      <c r="C81">
        <v>90173056</v>
      </c>
      <c r="D81">
        <v>7231457</v>
      </c>
      <c r="E81">
        <v>1</v>
      </c>
      <c r="F81">
        <v>1</v>
      </c>
      <c r="G81">
        <v>7157832</v>
      </c>
      <c r="H81">
        <v>2</v>
      </c>
      <c r="I81" t="s">
        <v>358</v>
      </c>
      <c r="J81" t="s">
        <v>359</v>
      </c>
      <c r="K81" t="s">
        <v>360</v>
      </c>
      <c r="L81">
        <v>1368</v>
      </c>
      <c r="N81">
        <v>1011</v>
      </c>
      <c r="O81" t="s">
        <v>286</v>
      </c>
      <c r="P81" t="s">
        <v>286</v>
      </c>
      <c r="Q81">
        <v>1</v>
      </c>
      <c r="X81">
        <v>33</v>
      </c>
      <c r="Y81">
        <v>0</v>
      </c>
      <c r="Z81">
        <v>0.68</v>
      </c>
      <c r="AA81">
        <v>0.04</v>
      </c>
      <c r="AB81">
        <v>0</v>
      </c>
      <c r="AC81">
        <v>0</v>
      </c>
      <c r="AD81">
        <v>1</v>
      </c>
      <c r="AE81">
        <v>0</v>
      </c>
      <c r="AF81" t="s">
        <v>249</v>
      </c>
      <c r="AG81">
        <v>22.769999999999996</v>
      </c>
      <c r="AH81">
        <v>2</v>
      </c>
      <c r="AI81">
        <v>90173063</v>
      </c>
      <c r="AJ81">
        <v>86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</row>
    <row r="82" spans="1:44" x14ac:dyDescent="0.2">
      <c r="A82">
        <f>ROW(Source!A208)</f>
        <v>208</v>
      </c>
      <c r="B82">
        <v>90173062</v>
      </c>
      <c r="C82">
        <v>90173056</v>
      </c>
      <c r="D82">
        <v>7230810</v>
      </c>
      <c r="E82">
        <v>1</v>
      </c>
      <c r="F82">
        <v>1</v>
      </c>
      <c r="G82">
        <v>7157832</v>
      </c>
      <c r="H82">
        <v>2</v>
      </c>
      <c r="I82" t="s">
        <v>395</v>
      </c>
      <c r="J82" t="s">
        <v>396</v>
      </c>
      <c r="K82" t="s">
        <v>397</v>
      </c>
      <c r="L82">
        <v>1368</v>
      </c>
      <c r="N82">
        <v>1011</v>
      </c>
      <c r="O82" t="s">
        <v>286</v>
      </c>
      <c r="P82" t="s">
        <v>286</v>
      </c>
      <c r="Q82">
        <v>1</v>
      </c>
      <c r="X82">
        <v>50.3</v>
      </c>
      <c r="Y82">
        <v>0</v>
      </c>
      <c r="Z82">
        <v>101.75</v>
      </c>
      <c r="AA82">
        <v>25.78</v>
      </c>
      <c r="AB82">
        <v>0</v>
      </c>
      <c r="AC82">
        <v>0</v>
      </c>
      <c r="AD82">
        <v>1</v>
      </c>
      <c r="AE82">
        <v>0</v>
      </c>
      <c r="AF82" t="s">
        <v>249</v>
      </c>
      <c r="AG82">
        <v>34.706999999999994</v>
      </c>
      <c r="AH82">
        <v>2</v>
      </c>
      <c r="AI82">
        <v>90173062</v>
      </c>
      <c r="AJ82">
        <v>87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</row>
    <row r="83" spans="1:44" x14ac:dyDescent="0.2">
      <c r="A83">
        <f>ROW(Source!A208)</f>
        <v>208</v>
      </c>
      <c r="B83">
        <v>90173064</v>
      </c>
      <c r="C83">
        <v>90173056</v>
      </c>
      <c r="D83">
        <v>7231827</v>
      </c>
      <c r="E83">
        <v>1</v>
      </c>
      <c r="F83">
        <v>1</v>
      </c>
      <c r="G83">
        <v>7157832</v>
      </c>
      <c r="H83">
        <v>3</v>
      </c>
      <c r="I83" t="s">
        <v>364</v>
      </c>
      <c r="J83" t="s">
        <v>365</v>
      </c>
      <c r="K83" t="s">
        <v>366</v>
      </c>
      <c r="L83">
        <v>1339</v>
      </c>
      <c r="N83">
        <v>1007</v>
      </c>
      <c r="O83" t="s">
        <v>30</v>
      </c>
      <c r="P83" t="s">
        <v>30</v>
      </c>
      <c r="Q83">
        <v>1</v>
      </c>
      <c r="X83">
        <v>168</v>
      </c>
      <c r="Y83">
        <v>7.07</v>
      </c>
      <c r="Z83">
        <v>0</v>
      </c>
      <c r="AA83">
        <v>0</v>
      </c>
      <c r="AB83">
        <v>0</v>
      </c>
      <c r="AC83">
        <v>0</v>
      </c>
      <c r="AD83">
        <v>1</v>
      </c>
      <c r="AE83">
        <v>0</v>
      </c>
      <c r="AF83" t="s">
        <v>164</v>
      </c>
      <c r="AG83">
        <v>0</v>
      </c>
      <c r="AH83">
        <v>2</v>
      </c>
      <c r="AI83">
        <v>90173064</v>
      </c>
      <c r="AJ83">
        <v>88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</row>
    <row r="84" spans="1:44" x14ac:dyDescent="0.2">
      <c r="A84">
        <f>ROW(Source!A208)</f>
        <v>208</v>
      </c>
      <c r="B84">
        <v>90173065</v>
      </c>
      <c r="C84">
        <v>90173056</v>
      </c>
      <c r="D84">
        <v>7233230</v>
      </c>
      <c r="E84">
        <v>1</v>
      </c>
      <c r="F84">
        <v>1</v>
      </c>
      <c r="G84">
        <v>7157832</v>
      </c>
      <c r="H84">
        <v>3</v>
      </c>
      <c r="I84" t="s">
        <v>328</v>
      </c>
      <c r="J84" t="s">
        <v>329</v>
      </c>
      <c r="K84" t="s">
        <v>330</v>
      </c>
      <c r="L84">
        <v>1348</v>
      </c>
      <c r="N84">
        <v>1009</v>
      </c>
      <c r="O84" t="s">
        <v>39</v>
      </c>
      <c r="P84" t="s">
        <v>39</v>
      </c>
      <c r="Q84">
        <v>1000</v>
      </c>
      <c r="X84">
        <v>0.112</v>
      </c>
      <c r="Y84">
        <v>7191.81</v>
      </c>
      <c r="Z84">
        <v>0</v>
      </c>
      <c r="AA84">
        <v>0</v>
      </c>
      <c r="AB84">
        <v>0</v>
      </c>
      <c r="AC84">
        <v>0</v>
      </c>
      <c r="AD84">
        <v>1</v>
      </c>
      <c r="AE84">
        <v>0</v>
      </c>
      <c r="AF84" t="s">
        <v>164</v>
      </c>
      <c r="AG84">
        <v>0</v>
      </c>
      <c r="AH84">
        <v>2</v>
      </c>
      <c r="AI84">
        <v>90173065</v>
      </c>
      <c r="AJ84">
        <v>89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</row>
    <row r="85" spans="1:44" x14ac:dyDescent="0.2">
      <c r="A85">
        <f>ROW(Source!A208)</f>
        <v>208</v>
      </c>
      <c r="B85">
        <v>90173066</v>
      </c>
      <c r="C85">
        <v>90173056</v>
      </c>
      <c r="D85">
        <v>7233263</v>
      </c>
      <c r="E85">
        <v>1</v>
      </c>
      <c r="F85">
        <v>1</v>
      </c>
      <c r="G85">
        <v>7157832</v>
      </c>
      <c r="H85">
        <v>3</v>
      </c>
      <c r="I85" t="s">
        <v>367</v>
      </c>
      <c r="J85" t="s">
        <v>368</v>
      </c>
      <c r="K85" t="s">
        <v>369</v>
      </c>
      <c r="L85">
        <v>1354</v>
      </c>
      <c r="N85">
        <v>16987630</v>
      </c>
      <c r="O85" t="s">
        <v>342</v>
      </c>
      <c r="P85" t="s">
        <v>342</v>
      </c>
      <c r="Q85">
        <v>1</v>
      </c>
      <c r="X85">
        <v>3.3</v>
      </c>
      <c r="Y85">
        <v>13.76</v>
      </c>
      <c r="Z85">
        <v>0</v>
      </c>
      <c r="AA85">
        <v>0</v>
      </c>
      <c r="AB85">
        <v>0</v>
      </c>
      <c r="AC85">
        <v>0</v>
      </c>
      <c r="AD85">
        <v>1</v>
      </c>
      <c r="AE85">
        <v>0</v>
      </c>
      <c r="AF85" t="s">
        <v>164</v>
      </c>
      <c r="AG85">
        <v>0</v>
      </c>
      <c r="AH85">
        <v>2</v>
      </c>
      <c r="AI85">
        <v>90173066</v>
      </c>
      <c r="AJ85">
        <v>90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</row>
    <row r="86" spans="1:44" x14ac:dyDescent="0.2">
      <c r="A86">
        <f>ROW(Source!A208)</f>
        <v>208</v>
      </c>
      <c r="B86">
        <v>90173067</v>
      </c>
      <c r="C86">
        <v>90173056</v>
      </c>
      <c r="D86">
        <v>7231970</v>
      </c>
      <c r="E86">
        <v>1</v>
      </c>
      <c r="F86">
        <v>1</v>
      </c>
      <c r="G86">
        <v>7157832</v>
      </c>
      <c r="H86">
        <v>3</v>
      </c>
      <c r="I86" t="s">
        <v>370</v>
      </c>
      <c r="J86" t="s">
        <v>371</v>
      </c>
      <c r="K86" t="s">
        <v>372</v>
      </c>
      <c r="L86">
        <v>1348</v>
      </c>
      <c r="N86">
        <v>1009</v>
      </c>
      <c r="O86" t="s">
        <v>39</v>
      </c>
      <c r="P86" t="s">
        <v>39</v>
      </c>
      <c r="Q86">
        <v>1000</v>
      </c>
      <c r="X86">
        <v>1.01E-2</v>
      </c>
      <c r="Y86">
        <v>3246.35</v>
      </c>
      <c r="Z86">
        <v>0</v>
      </c>
      <c r="AA86">
        <v>0</v>
      </c>
      <c r="AB86">
        <v>0</v>
      </c>
      <c r="AC86">
        <v>0</v>
      </c>
      <c r="AD86">
        <v>1</v>
      </c>
      <c r="AE86">
        <v>0</v>
      </c>
      <c r="AF86" t="s">
        <v>164</v>
      </c>
      <c r="AG86">
        <v>0</v>
      </c>
      <c r="AH86">
        <v>2</v>
      </c>
      <c r="AI86">
        <v>90173067</v>
      </c>
      <c r="AJ86">
        <v>91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</row>
    <row r="87" spans="1:44" x14ac:dyDescent="0.2">
      <c r="A87">
        <f>ROW(Source!A208)</f>
        <v>208</v>
      </c>
      <c r="B87">
        <v>90173068</v>
      </c>
      <c r="C87">
        <v>90173056</v>
      </c>
      <c r="D87">
        <v>7243313</v>
      </c>
      <c r="E87">
        <v>1</v>
      </c>
      <c r="F87">
        <v>1</v>
      </c>
      <c r="G87">
        <v>7157832</v>
      </c>
      <c r="H87">
        <v>3</v>
      </c>
      <c r="I87" t="s">
        <v>398</v>
      </c>
      <c r="J87" t="s">
        <v>399</v>
      </c>
      <c r="K87" t="s">
        <v>400</v>
      </c>
      <c r="L87">
        <v>1035</v>
      </c>
      <c r="N87">
        <v>1013</v>
      </c>
      <c r="O87" t="s">
        <v>58</v>
      </c>
      <c r="P87" t="s">
        <v>58</v>
      </c>
      <c r="Q87">
        <v>1</v>
      </c>
      <c r="X87">
        <v>5</v>
      </c>
      <c r="Y87">
        <v>66.87</v>
      </c>
      <c r="Z87">
        <v>0</v>
      </c>
      <c r="AA87">
        <v>0</v>
      </c>
      <c r="AB87">
        <v>0</v>
      </c>
      <c r="AC87">
        <v>0</v>
      </c>
      <c r="AD87">
        <v>1</v>
      </c>
      <c r="AE87">
        <v>0</v>
      </c>
      <c r="AF87" t="s">
        <v>164</v>
      </c>
      <c r="AG87">
        <v>0</v>
      </c>
      <c r="AH87">
        <v>2</v>
      </c>
      <c r="AI87">
        <v>90173068</v>
      </c>
      <c r="AJ87">
        <v>92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</row>
    <row r="88" spans="1:44" x14ac:dyDescent="0.2">
      <c r="A88">
        <f>ROW(Source!A208)</f>
        <v>208</v>
      </c>
      <c r="B88">
        <v>90173069</v>
      </c>
      <c r="C88">
        <v>90173056</v>
      </c>
      <c r="D88">
        <v>7243317</v>
      </c>
      <c r="E88">
        <v>1</v>
      </c>
      <c r="F88">
        <v>1</v>
      </c>
      <c r="G88">
        <v>7157832</v>
      </c>
      <c r="H88">
        <v>3</v>
      </c>
      <c r="I88" t="s">
        <v>401</v>
      </c>
      <c r="J88" t="s">
        <v>402</v>
      </c>
      <c r="K88" t="s">
        <v>403</v>
      </c>
      <c r="L88">
        <v>1035</v>
      </c>
      <c r="N88">
        <v>1013</v>
      </c>
      <c r="O88" t="s">
        <v>58</v>
      </c>
      <c r="P88" t="s">
        <v>58</v>
      </c>
      <c r="Q88">
        <v>1</v>
      </c>
      <c r="X88">
        <v>5</v>
      </c>
      <c r="Y88">
        <v>154.80000000000001</v>
      </c>
      <c r="Z88">
        <v>0</v>
      </c>
      <c r="AA88">
        <v>0</v>
      </c>
      <c r="AB88">
        <v>0</v>
      </c>
      <c r="AC88">
        <v>0</v>
      </c>
      <c r="AD88">
        <v>1</v>
      </c>
      <c r="AE88">
        <v>0</v>
      </c>
      <c r="AF88" t="s">
        <v>164</v>
      </c>
      <c r="AG88">
        <v>0</v>
      </c>
      <c r="AH88">
        <v>2</v>
      </c>
      <c r="AI88">
        <v>90173069</v>
      </c>
      <c r="AJ88">
        <v>93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</row>
    <row r="89" spans="1:44" x14ac:dyDescent="0.2">
      <c r="A89">
        <f>ROW(Source!A208)</f>
        <v>208</v>
      </c>
      <c r="B89">
        <v>90173070</v>
      </c>
      <c r="C89">
        <v>90173056</v>
      </c>
      <c r="D89">
        <v>7243921</v>
      </c>
      <c r="E89">
        <v>1</v>
      </c>
      <c r="F89">
        <v>1</v>
      </c>
      <c r="G89">
        <v>7157832</v>
      </c>
      <c r="H89">
        <v>3</v>
      </c>
      <c r="I89" t="s">
        <v>404</v>
      </c>
      <c r="J89" t="s">
        <v>405</v>
      </c>
      <c r="K89" t="s">
        <v>406</v>
      </c>
      <c r="L89">
        <v>1354</v>
      </c>
      <c r="N89">
        <v>16987630</v>
      </c>
      <c r="O89" t="s">
        <v>342</v>
      </c>
      <c r="P89" t="s">
        <v>342</v>
      </c>
      <c r="Q89">
        <v>1</v>
      </c>
      <c r="X89">
        <v>5</v>
      </c>
      <c r="Y89">
        <v>1069.77</v>
      </c>
      <c r="Z89">
        <v>0</v>
      </c>
      <c r="AA89">
        <v>0</v>
      </c>
      <c r="AB89">
        <v>0</v>
      </c>
      <c r="AC89">
        <v>0</v>
      </c>
      <c r="AD89">
        <v>1</v>
      </c>
      <c r="AE89">
        <v>0</v>
      </c>
      <c r="AF89" t="s">
        <v>164</v>
      </c>
      <c r="AG89">
        <v>0</v>
      </c>
      <c r="AH89">
        <v>2</v>
      </c>
      <c r="AI89">
        <v>90173070</v>
      </c>
      <c r="AJ89">
        <v>94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</row>
    <row r="90" spans="1:44" x14ac:dyDescent="0.2">
      <c r="A90">
        <f>ROW(Source!A208)</f>
        <v>208</v>
      </c>
      <c r="B90">
        <v>90173071</v>
      </c>
      <c r="C90">
        <v>90173056</v>
      </c>
      <c r="D90">
        <v>7243925</v>
      </c>
      <c r="E90">
        <v>1</v>
      </c>
      <c r="F90">
        <v>1</v>
      </c>
      <c r="G90">
        <v>7157832</v>
      </c>
      <c r="H90">
        <v>3</v>
      </c>
      <c r="I90" t="s">
        <v>407</v>
      </c>
      <c r="J90" t="s">
        <v>408</v>
      </c>
      <c r="K90" t="s">
        <v>409</v>
      </c>
      <c r="L90">
        <v>1354</v>
      </c>
      <c r="N90">
        <v>16987630</v>
      </c>
      <c r="O90" t="s">
        <v>342</v>
      </c>
      <c r="P90" t="s">
        <v>342</v>
      </c>
      <c r="Q90">
        <v>1</v>
      </c>
      <c r="X90">
        <v>5</v>
      </c>
      <c r="Y90">
        <v>612.04</v>
      </c>
      <c r="Z90">
        <v>0</v>
      </c>
      <c r="AA90">
        <v>0</v>
      </c>
      <c r="AB90">
        <v>0</v>
      </c>
      <c r="AC90">
        <v>0</v>
      </c>
      <c r="AD90">
        <v>1</v>
      </c>
      <c r="AE90">
        <v>0</v>
      </c>
      <c r="AF90" t="s">
        <v>164</v>
      </c>
      <c r="AG90">
        <v>0</v>
      </c>
      <c r="AH90">
        <v>2</v>
      </c>
      <c r="AI90">
        <v>90173071</v>
      </c>
      <c r="AJ90">
        <v>95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</row>
    <row r="91" spans="1:44" x14ac:dyDescent="0.2">
      <c r="A91">
        <f>ROW(Source!A208)</f>
        <v>208</v>
      </c>
      <c r="B91">
        <v>90173072</v>
      </c>
      <c r="C91">
        <v>90173056</v>
      </c>
      <c r="D91">
        <v>7160056</v>
      </c>
      <c r="E91">
        <v>7157832</v>
      </c>
      <c r="F91">
        <v>1</v>
      </c>
      <c r="G91">
        <v>7157832</v>
      </c>
      <c r="H91">
        <v>3</v>
      </c>
      <c r="I91" t="s">
        <v>382</v>
      </c>
      <c r="J91" t="s">
        <v>3</v>
      </c>
      <c r="K91" t="s">
        <v>383</v>
      </c>
      <c r="L91">
        <v>1301</v>
      </c>
      <c r="N91">
        <v>1003</v>
      </c>
      <c r="O91" t="s">
        <v>18</v>
      </c>
      <c r="P91" t="s">
        <v>18</v>
      </c>
      <c r="Q91">
        <v>1</v>
      </c>
      <c r="X91">
        <v>1000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 t="s">
        <v>164</v>
      </c>
      <c r="AG91">
        <v>0</v>
      </c>
      <c r="AH91">
        <v>2</v>
      </c>
      <c r="AI91">
        <v>90173072</v>
      </c>
      <c r="AJ91">
        <v>96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</row>
    <row r="92" spans="1:44" x14ac:dyDescent="0.2">
      <c r="A92">
        <f>ROW(Source!A208)</f>
        <v>208</v>
      </c>
      <c r="B92">
        <v>90173073</v>
      </c>
      <c r="C92">
        <v>90173056</v>
      </c>
      <c r="D92">
        <v>7161464</v>
      </c>
      <c r="E92">
        <v>7157832</v>
      </c>
      <c r="F92">
        <v>1</v>
      </c>
      <c r="G92">
        <v>7157832</v>
      </c>
      <c r="H92">
        <v>3</v>
      </c>
      <c r="I92" t="s">
        <v>384</v>
      </c>
      <c r="J92" t="s">
        <v>3</v>
      </c>
      <c r="K92" t="s">
        <v>385</v>
      </c>
      <c r="L92">
        <v>1348</v>
      </c>
      <c r="N92">
        <v>1009</v>
      </c>
      <c r="O92" t="s">
        <v>39</v>
      </c>
      <c r="P92" t="s">
        <v>39</v>
      </c>
      <c r="Q92">
        <v>1000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 t="s">
        <v>164</v>
      </c>
      <c r="AG92">
        <v>0</v>
      </c>
      <c r="AH92">
        <v>2</v>
      </c>
      <c r="AI92">
        <v>90173073</v>
      </c>
      <c r="AJ92">
        <v>97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</row>
    <row r="93" spans="1:44" x14ac:dyDescent="0.2">
      <c r="A93">
        <f>ROW(Source!A208)</f>
        <v>208</v>
      </c>
      <c r="B93">
        <v>90173074</v>
      </c>
      <c r="C93">
        <v>90173056</v>
      </c>
      <c r="D93">
        <v>7174751</v>
      </c>
      <c r="E93">
        <v>7157832</v>
      </c>
      <c r="F93">
        <v>1</v>
      </c>
      <c r="G93">
        <v>7157832</v>
      </c>
      <c r="H93">
        <v>3</v>
      </c>
      <c r="I93" t="s">
        <v>388</v>
      </c>
      <c r="J93" t="s">
        <v>3</v>
      </c>
      <c r="K93" t="s">
        <v>389</v>
      </c>
      <c r="L93">
        <v>1354</v>
      </c>
      <c r="N93">
        <v>16987630</v>
      </c>
      <c r="O93" t="s">
        <v>342</v>
      </c>
      <c r="P93" t="s">
        <v>342</v>
      </c>
      <c r="Q93">
        <v>1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 t="s">
        <v>164</v>
      </c>
      <c r="AG93">
        <v>0</v>
      </c>
      <c r="AH93">
        <v>2</v>
      </c>
      <c r="AI93">
        <v>90173074</v>
      </c>
      <c r="AJ93">
        <v>98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</row>
    <row r="94" spans="1:44" x14ac:dyDescent="0.2">
      <c r="A94">
        <f>ROW(Source!A208)</f>
        <v>208</v>
      </c>
      <c r="B94">
        <v>90173075</v>
      </c>
      <c r="C94">
        <v>90173056</v>
      </c>
      <c r="D94">
        <v>7174770</v>
      </c>
      <c r="E94">
        <v>7157832</v>
      </c>
      <c r="F94">
        <v>1</v>
      </c>
      <c r="G94">
        <v>7157832</v>
      </c>
      <c r="H94">
        <v>3</v>
      </c>
      <c r="I94" t="s">
        <v>390</v>
      </c>
      <c r="J94" t="s">
        <v>3</v>
      </c>
      <c r="K94" t="s">
        <v>391</v>
      </c>
      <c r="L94">
        <v>1354</v>
      </c>
      <c r="N94">
        <v>16987630</v>
      </c>
      <c r="O94" t="s">
        <v>342</v>
      </c>
      <c r="P94" t="s">
        <v>342</v>
      </c>
      <c r="Q94">
        <v>1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 t="s">
        <v>164</v>
      </c>
      <c r="AG94">
        <v>0</v>
      </c>
      <c r="AH94">
        <v>2</v>
      </c>
      <c r="AI94">
        <v>90173075</v>
      </c>
      <c r="AJ94">
        <v>99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</row>
    <row r="95" spans="1:44" x14ac:dyDescent="0.2">
      <c r="A95">
        <f>ROW(Source!A209)</f>
        <v>209</v>
      </c>
      <c r="B95">
        <v>90164055</v>
      </c>
      <c r="C95">
        <v>90164053</v>
      </c>
      <c r="D95">
        <v>7157835</v>
      </c>
      <c r="E95">
        <v>7157832</v>
      </c>
      <c r="F95">
        <v>1</v>
      </c>
      <c r="G95">
        <v>7157832</v>
      </c>
      <c r="H95">
        <v>1</v>
      </c>
      <c r="I95" t="s">
        <v>276</v>
      </c>
      <c r="J95" t="s">
        <v>3</v>
      </c>
      <c r="K95" t="s">
        <v>277</v>
      </c>
      <c r="L95">
        <v>1191</v>
      </c>
      <c r="N95">
        <v>1013</v>
      </c>
      <c r="O95" t="s">
        <v>278</v>
      </c>
      <c r="P95" t="s">
        <v>278</v>
      </c>
      <c r="Q95">
        <v>1</v>
      </c>
      <c r="X95">
        <v>19.100000000000001</v>
      </c>
      <c r="Y95">
        <v>0</v>
      </c>
      <c r="Z95">
        <v>0</v>
      </c>
      <c r="AA95">
        <v>0</v>
      </c>
      <c r="AB95">
        <v>0</v>
      </c>
      <c r="AC95">
        <v>0</v>
      </c>
      <c r="AD95">
        <v>1</v>
      </c>
      <c r="AE95">
        <v>1</v>
      </c>
      <c r="AF95" t="s">
        <v>172</v>
      </c>
      <c r="AG95">
        <v>21.01</v>
      </c>
      <c r="AH95">
        <v>2</v>
      </c>
      <c r="AI95">
        <v>90164054</v>
      </c>
      <c r="AJ95">
        <v>100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</row>
    <row r="96" spans="1:44" x14ac:dyDescent="0.2">
      <c r="A96">
        <f>ROW(Source!A210)</f>
        <v>210</v>
      </c>
      <c r="B96">
        <v>90164063</v>
      </c>
      <c r="C96">
        <v>90164056</v>
      </c>
      <c r="D96">
        <v>7157835</v>
      </c>
      <c r="E96">
        <v>7157832</v>
      </c>
      <c r="F96">
        <v>1</v>
      </c>
      <c r="G96">
        <v>7157832</v>
      </c>
      <c r="H96">
        <v>1</v>
      </c>
      <c r="I96" t="s">
        <v>276</v>
      </c>
      <c r="J96" t="s">
        <v>3</v>
      </c>
      <c r="K96" t="s">
        <v>277</v>
      </c>
      <c r="L96">
        <v>1191</v>
      </c>
      <c r="N96">
        <v>1013</v>
      </c>
      <c r="O96" t="s">
        <v>278</v>
      </c>
      <c r="P96" t="s">
        <v>278</v>
      </c>
      <c r="Q96">
        <v>1</v>
      </c>
      <c r="X96">
        <v>2</v>
      </c>
      <c r="Y96">
        <v>0</v>
      </c>
      <c r="Z96">
        <v>0</v>
      </c>
      <c r="AA96">
        <v>0</v>
      </c>
      <c r="AB96">
        <v>0</v>
      </c>
      <c r="AC96">
        <v>0</v>
      </c>
      <c r="AD96">
        <v>1</v>
      </c>
      <c r="AE96">
        <v>1</v>
      </c>
      <c r="AF96" t="s">
        <v>249</v>
      </c>
      <c r="AG96">
        <v>1.38</v>
      </c>
      <c r="AH96">
        <v>2</v>
      </c>
      <c r="AI96">
        <v>90164057</v>
      </c>
      <c r="AJ96">
        <v>101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</row>
    <row r="97" spans="1:44" x14ac:dyDescent="0.2">
      <c r="A97">
        <f>ROW(Source!A210)</f>
        <v>210</v>
      </c>
      <c r="B97">
        <v>90164064</v>
      </c>
      <c r="C97">
        <v>90164056</v>
      </c>
      <c r="D97">
        <v>7159942</v>
      </c>
      <c r="E97">
        <v>7157832</v>
      </c>
      <c r="F97">
        <v>1</v>
      </c>
      <c r="G97">
        <v>7157832</v>
      </c>
      <c r="H97">
        <v>2</v>
      </c>
      <c r="I97" t="s">
        <v>279</v>
      </c>
      <c r="J97" t="s">
        <v>3</v>
      </c>
      <c r="K97" t="s">
        <v>280</v>
      </c>
      <c r="L97">
        <v>1344</v>
      </c>
      <c r="N97">
        <v>1008</v>
      </c>
      <c r="O97" t="s">
        <v>281</v>
      </c>
      <c r="P97" t="s">
        <v>281</v>
      </c>
      <c r="Q97">
        <v>1</v>
      </c>
      <c r="X97">
        <v>3.97</v>
      </c>
      <c r="Y97">
        <v>0</v>
      </c>
      <c r="Z97">
        <v>1</v>
      </c>
      <c r="AA97">
        <v>0</v>
      </c>
      <c r="AB97">
        <v>0</v>
      </c>
      <c r="AC97">
        <v>0</v>
      </c>
      <c r="AD97">
        <v>1</v>
      </c>
      <c r="AE97">
        <v>0</v>
      </c>
      <c r="AF97" t="s">
        <v>249</v>
      </c>
      <c r="AG97">
        <v>2.7393000000000001</v>
      </c>
      <c r="AH97">
        <v>2</v>
      </c>
      <c r="AI97">
        <v>90164058</v>
      </c>
      <c r="AJ97">
        <v>102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</row>
    <row r="98" spans="1:44" x14ac:dyDescent="0.2">
      <c r="A98">
        <f>ROW(Source!A210)</f>
        <v>210</v>
      </c>
      <c r="B98">
        <v>90164065</v>
      </c>
      <c r="C98">
        <v>90164056</v>
      </c>
      <c r="D98">
        <v>7182707</v>
      </c>
      <c r="E98">
        <v>7157832</v>
      </c>
      <c r="F98">
        <v>1</v>
      </c>
      <c r="G98">
        <v>7157832</v>
      </c>
      <c r="H98">
        <v>3</v>
      </c>
      <c r="I98" t="s">
        <v>37</v>
      </c>
      <c r="J98" t="s">
        <v>3</v>
      </c>
      <c r="K98" t="s">
        <v>282</v>
      </c>
      <c r="L98">
        <v>1344</v>
      </c>
      <c r="N98">
        <v>1008</v>
      </c>
      <c r="O98" t="s">
        <v>281</v>
      </c>
      <c r="P98" t="s">
        <v>281</v>
      </c>
      <c r="Q98">
        <v>1</v>
      </c>
      <c r="X98">
        <v>1</v>
      </c>
      <c r="Y98">
        <v>1</v>
      </c>
      <c r="Z98">
        <v>0</v>
      </c>
      <c r="AA98">
        <v>0</v>
      </c>
      <c r="AB98">
        <v>0</v>
      </c>
      <c r="AC98">
        <v>0</v>
      </c>
      <c r="AD98">
        <v>1</v>
      </c>
      <c r="AE98">
        <v>0</v>
      </c>
      <c r="AF98" t="s">
        <v>164</v>
      </c>
      <c r="AG98">
        <v>0</v>
      </c>
      <c r="AH98">
        <v>2</v>
      </c>
      <c r="AI98">
        <v>90164059</v>
      </c>
      <c r="AJ98">
        <v>103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</row>
    <row r="99" spans="1:44" x14ac:dyDescent="0.2">
      <c r="A99">
        <f>ROW(Source!A210)</f>
        <v>210</v>
      </c>
      <c r="B99">
        <v>90164066</v>
      </c>
      <c r="C99">
        <v>90164056</v>
      </c>
      <c r="D99">
        <v>7158791</v>
      </c>
      <c r="E99">
        <v>7157832</v>
      </c>
      <c r="F99">
        <v>1</v>
      </c>
      <c r="G99">
        <v>7157832</v>
      </c>
      <c r="H99">
        <v>3</v>
      </c>
      <c r="I99" t="s">
        <v>410</v>
      </c>
      <c r="J99" t="s">
        <v>3</v>
      </c>
      <c r="K99" t="s">
        <v>411</v>
      </c>
      <c r="L99">
        <v>1346</v>
      </c>
      <c r="N99">
        <v>1009</v>
      </c>
      <c r="O99" t="s">
        <v>304</v>
      </c>
      <c r="P99" t="s">
        <v>304</v>
      </c>
      <c r="Q99">
        <v>1</v>
      </c>
      <c r="X99">
        <v>0.5</v>
      </c>
      <c r="Y99">
        <v>11.7918</v>
      </c>
      <c r="Z99">
        <v>0</v>
      </c>
      <c r="AA99">
        <v>0</v>
      </c>
      <c r="AB99">
        <v>0</v>
      </c>
      <c r="AC99">
        <v>0</v>
      </c>
      <c r="AD99">
        <v>1</v>
      </c>
      <c r="AE99">
        <v>0</v>
      </c>
      <c r="AF99" t="s">
        <v>164</v>
      </c>
      <c r="AG99">
        <v>0</v>
      </c>
      <c r="AH99">
        <v>2</v>
      </c>
      <c r="AI99">
        <v>90164060</v>
      </c>
      <c r="AJ99">
        <v>104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</row>
    <row r="100" spans="1:44" x14ac:dyDescent="0.2">
      <c r="A100">
        <f>ROW(Source!A210)</f>
        <v>210</v>
      </c>
      <c r="B100">
        <v>90164067</v>
      </c>
      <c r="C100">
        <v>90164056</v>
      </c>
      <c r="D100">
        <v>7159776</v>
      </c>
      <c r="E100">
        <v>7157832</v>
      </c>
      <c r="F100">
        <v>1</v>
      </c>
      <c r="G100">
        <v>7157832</v>
      </c>
      <c r="H100">
        <v>3</v>
      </c>
      <c r="I100" t="s">
        <v>412</v>
      </c>
      <c r="J100" t="s">
        <v>3</v>
      </c>
      <c r="K100" t="s">
        <v>413</v>
      </c>
      <c r="L100">
        <v>1348</v>
      </c>
      <c r="N100">
        <v>1009</v>
      </c>
      <c r="O100" t="s">
        <v>39</v>
      </c>
      <c r="P100" t="s">
        <v>39</v>
      </c>
      <c r="Q100">
        <v>1000</v>
      </c>
      <c r="X100">
        <v>1.2E-4</v>
      </c>
      <c r="Y100">
        <v>5020</v>
      </c>
      <c r="Z100">
        <v>0</v>
      </c>
      <c r="AA100">
        <v>0</v>
      </c>
      <c r="AB100">
        <v>0</v>
      </c>
      <c r="AC100">
        <v>0</v>
      </c>
      <c r="AD100">
        <v>1</v>
      </c>
      <c r="AE100">
        <v>0</v>
      </c>
      <c r="AF100" t="s">
        <v>164</v>
      </c>
      <c r="AG100">
        <v>0</v>
      </c>
      <c r="AH100">
        <v>2</v>
      </c>
      <c r="AI100">
        <v>90164061</v>
      </c>
      <c r="AJ100">
        <v>105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</row>
    <row r="101" spans="1:44" x14ac:dyDescent="0.2">
      <c r="A101">
        <f>ROW(Source!A210)</f>
        <v>210</v>
      </c>
      <c r="B101">
        <v>90164068</v>
      </c>
      <c r="C101">
        <v>90164056</v>
      </c>
      <c r="D101">
        <v>7238004</v>
      </c>
      <c r="E101">
        <v>1</v>
      </c>
      <c r="F101">
        <v>1</v>
      </c>
      <c r="G101">
        <v>7157832</v>
      </c>
      <c r="H101">
        <v>3</v>
      </c>
      <c r="I101" t="s">
        <v>414</v>
      </c>
      <c r="J101" t="s">
        <v>415</v>
      </c>
      <c r="K101" t="s">
        <v>416</v>
      </c>
      <c r="L101">
        <v>1327</v>
      </c>
      <c r="N101">
        <v>1005</v>
      </c>
      <c r="O101" t="s">
        <v>151</v>
      </c>
      <c r="P101" t="s">
        <v>151</v>
      </c>
      <c r="Q101">
        <v>1</v>
      </c>
      <c r="X101">
        <v>1.2</v>
      </c>
      <c r="Y101">
        <v>49.5</v>
      </c>
      <c r="Z101">
        <v>0</v>
      </c>
      <c r="AA101">
        <v>0</v>
      </c>
      <c r="AB101">
        <v>0</v>
      </c>
      <c r="AC101">
        <v>0</v>
      </c>
      <c r="AD101">
        <v>1</v>
      </c>
      <c r="AE101">
        <v>0</v>
      </c>
      <c r="AF101" t="s">
        <v>164</v>
      </c>
      <c r="AG101">
        <v>0</v>
      </c>
      <c r="AH101">
        <v>2</v>
      </c>
      <c r="AI101">
        <v>90164062</v>
      </c>
      <c r="AJ101">
        <v>106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</row>
    <row r="102" spans="1:44" x14ac:dyDescent="0.2">
      <c r="A102">
        <f>ROW(Source!A211)</f>
        <v>211</v>
      </c>
      <c r="B102">
        <v>90164085</v>
      </c>
      <c r="C102">
        <v>90164069</v>
      </c>
      <c r="D102">
        <v>7157835</v>
      </c>
      <c r="E102">
        <v>7157832</v>
      </c>
      <c r="F102">
        <v>1</v>
      </c>
      <c r="G102">
        <v>7157832</v>
      </c>
      <c r="H102">
        <v>1</v>
      </c>
      <c r="I102" t="s">
        <v>276</v>
      </c>
      <c r="J102" t="s">
        <v>3</v>
      </c>
      <c r="K102" t="s">
        <v>277</v>
      </c>
      <c r="L102">
        <v>1191</v>
      </c>
      <c r="N102">
        <v>1013</v>
      </c>
      <c r="O102" t="s">
        <v>278</v>
      </c>
      <c r="P102" t="s">
        <v>278</v>
      </c>
      <c r="Q102">
        <v>1</v>
      </c>
      <c r="X102">
        <v>827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1</v>
      </c>
      <c r="AE102">
        <v>1</v>
      </c>
      <c r="AF102" t="s">
        <v>165</v>
      </c>
      <c r="AG102">
        <v>760.84</v>
      </c>
      <c r="AH102">
        <v>2</v>
      </c>
      <c r="AI102">
        <v>90164070</v>
      </c>
      <c r="AJ102">
        <v>107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</row>
    <row r="103" spans="1:44" x14ac:dyDescent="0.2">
      <c r="A103">
        <f>ROW(Source!A211)</f>
        <v>211</v>
      </c>
      <c r="B103">
        <v>90164086</v>
      </c>
      <c r="C103">
        <v>90164069</v>
      </c>
      <c r="D103">
        <v>7231210</v>
      </c>
      <c r="E103">
        <v>1</v>
      </c>
      <c r="F103">
        <v>1</v>
      </c>
      <c r="G103">
        <v>7157832</v>
      </c>
      <c r="H103">
        <v>2</v>
      </c>
      <c r="I103" t="s">
        <v>314</v>
      </c>
      <c r="J103" t="s">
        <v>315</v>
      </c>
      <c r="K103" t="s">
        <v>316</v>
      </c>
      <c r="L103">
        <v>1368</v>
      </c>
      <c r="N103">
        <v>1011</v>
      </c>
      <c r="O103" t="s">
        <v>286</v>
      </c>
      <c r="P103" t="s">
        <v>286</v>
      </c>
      <c r="Q103">
        <v>1</v>
      </c>
      <c r="X103">
        <v>26.3</v>
      </c>
      <c r="Y103">
        <v>0</v>
      </c>
      <c r="Z103">
        <v>7.01</v>
      </c>
      <c r="AA103">
        <v>0.31</v>
      </c>
      <c r="AB103">
        <v>0</v>
      </c>
      <c r="AC103">
        <v>0</v>
      </c>
      <c r="AD103">
        <v>1</v>
      </c>
      <c r="AE103">
        <v>0</v>
      </c>
      <c r="AF103" t="s">
        <v>165</v>
      </c>
      <c r="AG103">
        <v>24.195999999999998</v>
      </c>
      <c r="AH103">
        <v>2</v>
      </c>
      <c r="AI103">
        <v>90164071</v>
      </c>
      <c r="AJ103">
        <v>108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</row>
    <row r="104" spans="1:44" x14ac:dyDescent="0.2">
      <c r="A104">
        <f>ROW(Source!A211)</f>
        <v>211</v>
      </c>
      <c r="B104">
        <v>90164087</v>
      </c>
      <c r="C104">
        <v>90164069</v>
      </c>
      <c r="D104">
        <v>7231421</v>
      </c>
      <c r="E104">
        <v>1</v>
      </c>
      <c r="F104">
        <v>1</v>
      </c>
      <c r="G104">
        <v>7157832</v>
      </c>
      <c r="H104">
        <v>2</v>
      </c>
      <c r="I104" t="s">
        <v>293</v>
      </c>
      <c r="J104" t="s">
        <v>294</v>
      </c>
      <c r="K104" t="s">
        <v>295</v>
      </c>
      <c r="L104">
        <v>1368</v>
      </c>
      <c r="N104">
        <v>1011</v>
      </c>
      <c r="O104" t="s">
        <v>286</v>
      </c>
      <c r="P104" t="s">
        <v>286</v>
      </c>
      <c r="Q104">
        <v>1</v>
      </c>
      <c r="X104">
        <v>2.4700000000000002</v>
      </c>
      <c r="Y104">
        <v>0</v>
      </c>
      <c r="Z104">
        <v>74.44</v>
      </c>
      <c r="AA104">
        <v>17.59</v>
      </c>
      <c r="AB104">
        <v>0</v>
      </c>
      <c r="AC104">
        <v>0</v>
      </c>
      <c r="AD104">
        <v>1</v>
      </c>
      <c r="AE104">
        <v>0</v>
      </c>
      <c r="AF104" t="s">
        <v>165</v>
      </c>
      <c r="AG104">
        <v>2.2724000000000002</v>
      </c>
      <c r="AH104">
        <v>2</v>
      </c>
      <c r="AI104">
        <v>90164072</v>
      </c>
      <c r="AJ104">
        <v>109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</row>
    <row r="105" spans="1:44" x14ac:dyDescent="0.2">
      <c r="A105">
        <f>ROW(Source!A211)</f>
        <v>211</v>
      </c>
      <c r="B105">
        <v>90164088</v>
      </c>
      <c r="C105">
        <v>90164069</v>
      </c>
      <c r="D105">
        <v>7230811</v>
      </c>
      <c r="E105">
        <v>1</v>
      </c>
      <c r="F105">
        <v>1</v>
      </c>
      <c r="G105">
        <v>7157832</v>
      </c>
      <c r="H105">
        <v>2</v>
      </c>
      <c r="I105" t="s">
        <v>317</v>
      </c>
      <c r="J105" t="s">
        <v>318</v>
      </c>
      <c r="K105" t="s">
        <v>319</v>
      </c>
      <c r="L105">
        <v>1368</v>
      </c>
      <c r="N105">
        <v>1011</v>
      </c>
      <c r="O105" t="s">
        <v>286</v>
      </c>
      <c r="P105" t="s">
        <v>286</v>
      </c>
      <c r="Q105">
        <v>1</v>
      </c>
      <c r="X105">
        <v>1.65</v>
      </c>
      <c r="Y105">
        <v>0</v>
      </c>
      <c r="Z105">
        <v>102.11</v>
      </c>
      <c r="AA105">
        <v>30.03</v>
      </c>
      <c r="AB105">
        <v>0</v>
      </c>
      <c r="AC105">
        <v>0</v>
      </c>
      <c r="AD105">
        <v>1</v>
      </c>
      <c r="AE105">
        <v>0</v>
      </c>
      <c r="AF105" t="s">
        <v>165</v>
      </c>
      <c r="AG105">
        <v>1.5179999999999998</v>
      </c>
      <c r="AH105">
        <v>2</v>
      </c>
      <c r="AI105">
        <v>90164073</v>
      </c>
      <c r="AJ105">
        <v>110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</row>
    <row r="106" spans="1:44" x14ac:dyDescent="0.2">
      <c r="A106">
        <f>ROW(Source!A211)</f>
        <v>211</v>
      </c>
      <c r="B106">
        <v>90164089</v>
      </c>
      <c r="C106">
        <v>90164069</v>
      </c>
      <c r="D106">
        <v>7231063</v>
      </c>
      <c r="E106">
        <v>1</v>
      </c>
      <c r="F106">
        <v>1</v>
      </c>
      <c r="G106">
        <v>7157832</v>
      </c>
      <c r="H106">
        <v>2</v>
      </c>
      <c r="I106" t="s">
        <v>320</v>
      </c>
      <c r="J106" t="s">
        <v>321</v>
      </c>
      <c r="K106" t="s">
        <v>322</v>
      </c>
      <c r="L106">
        <v>1368</v>
      </c>
      <c r="N106">
        <v>1011</v>
      </c>
      <c r="O106" t="s">
        <v>286</v>
      </c>
      <c r="P106" t="s">
        <v>286</v>
      </c>
      <c r="Q106">
        <v>1</v>
      </c>
      <c r="X106">
        <v>38.85</v>
      </c>
      <c r="Y106">
        <v>0</v>
      </c>
      <c r="Z106">
        <v>2.06</v>
      </c>
      <c r="AA106">
        <v>0.09</v>
      </c>
      <c r="AB106">
        <v>0</v>
      </c>
      <c r="AC106">
        <v>0</v>
      </c>
      <c r="AD106">
        <v>1</v>
      </c>
      <c r="AE106">
        <v>0</v>
      </c>
      <c r="AF106" t="s">
        <v>165</v>
      </c>
      <c r="AG106">
        <v>35.741999999999997</v>
      </c>
      <c r="AH106">
        <v>2</v>
      </c>
      <c r="AI106">
        <v>90164074</v>
      </c>
      <c r="AJ106">
        <v>111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</row>
    <row r="107" spans="1:44" x14ac:dyDescent="0.2">
      <c r="A107">
        <f>ROW(Source!A211)</f>
        <v>211</v>
      </c>
      <c r="B107">
        <v>90164090</v>
      </c>
      <c r="C107">
        <v>90164069</v>
      </c>
      <c r="D107">
        <v>7158352</v>
      </c>
      <c r="E107">
        <v>7157832</v>
      </c>
      <c r="F107">
        <v>1</v>
      </c>
      <c r="G107">
        <v>7157832</v>
      </c>
      <c r="H107">
        <v>3</v>
      </c>
      <c r="I107" t="s">
        <v>323</v>
      </c>
      <c r="J107" t="s">
        <v>3</v>
      </c>
      <c r="K107" t="s">
        <v>324</v>
      </c>
      <c r="L107">
        <v>1348</v>
      </c>
      <c r="N107">
        <v>1009</v>
      </c>
      <c r="O107" t="s">
        <v>39</v>
      </c>
      <c r="P107" t="s">
        <v>39</v>
      </c>
      <c r="Q107">
        <v>1000</v>
      </c>
      <c r="X107">
        <v>9.5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 t="s">
        <v>164</v>
      </c>
      <c r="AG107">
        <v>0</v>
      </c>
      <c r="AH107">
        <v>2</v>
      </c>
      <c r="AI107">
        <v>90164075</v>
      </c>
      <c r="AJ107">
        <v>112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</row>
    <row r="108" spans="1:44" x14ac:dyDescent="0.2">
      <c r="A108">
        <f>ROW(Source!A211)</f>
        <v>211</v>
      </c>
      <c r="B108">
        <v>90164091</v>
      </c>
      <c r="C108">
        <v>90164069</v>
      </c>
      <c r="D108">
        <v>7231843</v>
      </c>
      <c r="E108">
        <v>1</v>
      </c>
      <c r="F108">
        <v>1</v>
      </c>
      <c r="G108">
        <v>7157832</v>
      </c>
      <c r="H108">
        <v>3</v>
      </c>
      <c r="I108" t="s">
        <v>325</v>
      </c>
      <c r="J108" t="s">
        <v>326</v>
      </c>
      <c r="K108" t="s">
        <v>327</v>
      </c>
      <c r="L108">
        <v>1348</v>
      </c>
      <c r="N108">
        <v>1009</v>
      </c>
      <c r="O108" t="s">
        <v>39</v>
      </c>
      <c r="P108" t="s">
        <v>39</v>
      </c>
      <c r="Q108">
        <v>1000</v>
      </c>
      <c r="X108">
        <v>0.01</v>
      </c>
      <c r="Y108">
        <v>6521.42</v>
      </c>
      <c r="Z108">
        <v>0</v>
      </c>
      <c r="AA108">
        <v>0</v>
      </c>
      <c r="AB108">
        <v>0</v>
      </c>
      <c r="AC108">
        <v>0</v>
      </c>
      <c r="AD108">
        <v>1</v>
      </c>
      <c r="AE108">
        <v>0</v>
      </c>
      <c r="AF108" t="s">
        <v>164</v>
      </c>
      <c r="AG108">
        <v>0</v>
      </c>
      <c r="AH108">
        <v>2</v>
      </c>
      <c r="AI108">
        <v>90164076</v>
      </c>
      <c r="AJ108">
        <v>113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</row>
    <row r="109" spans="1:44" x14ac:dyDescent="0.2">
      <c r="A109">
        <f>ROW(Source!A211)</f>
        <v>211</v>
      </c>
      <c r="B109">
        <v>90164092</v>
      </c>
      <c r="C109">
        <v>90164069</v>
      </c>
      <c r="D109">
        <v>7233230</v>
      </c>
      <c r="E109">
        <v>1</v>
      </c>
      <c r="F109">
        <v>1</v>
      </c>
      <c r="G109">
        <v>7157832</v>
      </c>
      <c r="H109">
        <v>3</v>
      </c>
      <c r="I109" t="s">
        <v>328</v>
      </c>
      <c r="J109" t="s">
        <v>329</v>
      </c>
      <c r="K109" t="s">
        <v>330</v>
      </c>
      <c r="L109">
        <v>1348</v>
      </c>
      <c r="N109">
        <v>1009</v>
      </c>
      <c r="O109" t="s">
        <v>39</v>
      </c>
      <c r="P109" t="s">
        <v>39</v>
      </c>
      <c r="Q109">
        <v>1000</v>
      </c>
      <c r="X109">
        <v>2.75E-2</v>
      </c>
      <c r="Y109">
        <v>7191.81</v>
      </c>
      <c r="Z109">
        <v>0</v>
      </c>
      <c r="AA109">
        <v>0</v>
      </c>
      <c r="AB109">
        <v>0</v>
      </c>
      <c r="AC109">
        <v>0</v>
      </c>
      <c r="AD109">
        <v>1</v>
      </c>
      <c r="AE109">
        <v>0</v>
      </c>
      <c r="AF109" t="s">
        <v>164</v>
      </c>
      <c r="AG109">
        <v>0</v>
      </c>
      <c r="AH109">
        <v>2</v>
      </c>
      <c r="AI109">
        <v>90164077</v>
      </c>
      <c r="AJ109">
        <v>114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</row>
    <row r="110" spans="1:44" x14ac:dyDescent="0.2">
      <c r="A110">
        <f>ROW(Source!A211)</f>
        <v>211</v>
      </c>
      <c r="B110">
        <v>90164093</v>
      </c>
      <c r="C110">
        <v>90164069</v>
      </c>
      <c r="D110">
        <v>7231936</v>
      </c>
      <c r="E110">
        <v>1</v>
      </c>
      <c r="F110">
        <v>1</v>
      </c>
      <c r="G110">
        <v>7157832</v>
      </c>
      <c r="H110">
        <v>3</v>
      </c>
      <c r="I110" t="s">
        <v>331</v>
      </c>
      <c r="J110" t="s">
        <v>332</v>
      </c>
      <c r="K110" t="s">
        <v>333</v>
      </c>
      <c r="L110">
        <v>1339</v>
      </c>
      <c r="N110">
        <v>1007</v>
      </c>
      <c r="O110" t="s">
        <v>30</v>
      </c>
      <c r="P110" t="s">
        <v>30</v>
      </c>
      <c r="Q110">
        <v>1</v>
      </c>
      <c r="X110">
        <v>0.3</v>
      </c>
      <c r="Y110">
        <v>1828.56</v>
      </c>
      <c r="Z110">
        <v>0</v>
      </c>
      <c r="AA110">
        <v>0</v>
      </c>
      <c r="AB110">
        <v>0</v>
      </c>
      <c r="AC110">
        <v>0</v>
      </c>
      <c r="AD110">
        <v>1</v>
      </c>
      <c r="AE110">
        <v>0</v>
      </c>
      <c r="AF110" t="s">
        <v>164</v>
      </c>
      <c r="AG110">
        <v>0</v>
      </c>
      <c r="AH110">
        <v>2</v>
      </c>
      <c r="AI110">
        <v>90164078</v>
      </c>
      <c r="AJ110">
        <v>115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</row>
    <row r="111" spans="1:44" x14ac:dyDescent="0.2">
      <c r="A111">
        <f>ROW(Source!A211)</f>
        <v>211</v>
      </c>
      <c r="B111">
        <v>90164094</v>
      </c>
      <c r="C111">
        <v>90164069</v>
      </c>
      <c r="D111">
        <v>7231762</v>
      </c>
      <c r="E111">
        <v>1</v>
      </c>
      <c r="F111">
        <v>1</v>
      </c>
      <c r="G111">
        <v>7157832</v>
      </c>
      <c r="H111">
        <v>3</v>
      </c>
      <c r="I111" t="s">
        <v>334</v>
      </c>
      <c r="J111" t="s">
        <v>335</v>
      </c>
      <c r="K111" t="s">
        <v>336</v>
      </c>
      <c r="L111">
        <v>1348</v>
      </c>
      <c r="N111">
        <v>1009</v>
      </c>
      <c r="O111" t="s">
        <v>39</v>
      </c>
      <c r="P111" t="s">
        <v>39</v>
      </c>
      <c r="Q111">
        <v>1000</v>
      </c>
      <c r="X111">
        <v>0.84</v>
      </c>
      <c r="Y111">
        <v>3806.03</v>
      </c>
      <c r="Z111">
        <v>0</v>
      </c>
      <c r="AA111">
        <v>0</v>
      </c>
      <c r="AB111">
        <v>0</v>
      </c>
      <c r="AC111">
        <v>0</v>
      </c>
      <c r="AD111">
        <v>1</v>
      </c>
      <c r="AE111">
        <v>0</v>
      </c>
      <c r="AF111" t="s">
        <v>164</v>
      </c>
      <c r="AG111">
        <v>0</v>
      </c>
      <c r="AH111">
        <v>2</v>
      </c>
      <c r="AI111">
        <v>90164079</v>
      </c>
      <c r="AJ111">
        <v>116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</row>
    <row r="112" spans="1:44" x14ac:dyDescent="0.2">
      <c r="A112">
        <f>ROW(Source!A211)</f>
        <v>211</v>
      </c>
      <c r="B112">
        <v>90164095</v>
      </c>
      <c r="C112">
        <v>90164069</v>
      </c>
      <c r="D112">
        <v>7239912</v>
      </c>
      <c r="E112">
        <v>1</v>
      </c>
      <c r="F112">
        <v>1</v>
      </c>
      <c r="G112">
        <v>7157832</v>
      </c>
      <c r="H112">
        <v>3</v>
      </c>
      <c r="I112" t="s">
        <v>337</v>
      </c>
      <c r="J112" t="s">
        <v>338</v>
      </c>
      <c r="K112" t="s">
        <v>339</v>
      </c>
      <c r="L112">
        <v>1327</v>
      </c>
      <c r="N112">
        <v>1005</v>
      </c>
      <c r="O112" t="s">
        <v>151</v>
      </c>
      <c r="P112" t="s">
        <v>151</v>
      </c>
      <c r="Q112">
        <v>1</v>
      </c>
      <c r="X112">
        <v>9.1999999999999993</v>
      </c>
      <c r="Y112">
        <v>90.15</v>
      </c>
      <c r="Z112">
        <v>0</v>
      </c>
      <c r="AA112">
        <v>0</v>
      </c>
      <c r="AB112">
        <v>0</v>
      </c>
      <c r="AC112">
        <v>0</v>
      </c>
      <c r="AD112">
        <v>1</v>
      </c>
      <c r="AE112">
        <v>0</v>
      </c>
      <c r="AF112" t="s">
        <v>164</v>
      </c>
      <c r="AG112">
        <v>0</v>
      </c>
      <c r="AH112">
        <v>2</v>
      </c>
      <c r="AI112">
        <v>90164080</v>
      </c>
      <c r="AJ112">
        <v>117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</row>
    <row r="113" spans="1:44" x14ac:dyDescent="0.2">
      <c r="A113">
        <f>ROW(Source!A211)</f>
        <v>211</v>
      </c>
      <c r="B113">
        <v>90164096</v>
      </c>
      <c r="C113">
        <v>90164069</v>
      </c>
      <c r="D113">
        <v>20685154</v>
      </c>
      <c r="E113">
        <v>7157832</v>
      </c>
      <c r="F113">
        <v>1</v>
      </c>
      <c r="G113">
        <v>7157832</v>
      </c>
      <c r="H113">
        <v>3</v>
      </c>
      <c r="I113" t="s">
        <v>340</v>
      </c>
      <c r="J113" t="s">
        <v>3</v>
      </c>
      <c r="K113" t="s">
        <v>341</v>
      </c>
      <c r="L113">
        <v>1354</v>
      </c>
      <c r="N113">
        <v>16987630</v>
      </c>
      <c r="O113" t="s">
        <v>342</v>
      </c>
      <c r="P113" t="s">
        <v>342</v>
      </c>
      <c r="Q113">
        <v>1</v>
      </c>
      <c r="X113">
        <v>14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 t="s">
        <v>164</v>
      </c>
      <c r="AG113">
        <v>0</v>
      </c>
      <c r="AH113">
        <v>2</v>
      </c>
      <c r="AI113">
        <v>90164081</v>
      </c>
      <c r="AJ113">
        <v>118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</row>
    <row r="114" spans="1:44" x14ac:dyDescent="0.2">
      <c r="A114">
        <f>ROW(Source!A211)</f>
        <v>211</v>
      </c>
      <c r="B114">
        <v>90164097</v>
      </c>
      <c r="C114">
        <v>90164069</v>
      </c>
      <c r="D114">
        <v>7178521</v>
      </c>
      <c r="E114">
        <v>7157832</v>
      </c>
      <c r="F114">
        <v>1</v>
      </c>
      <c r="G114">
        <v>7157832</v>
      </c>
      <c r="H114">
        <v>3</v>
      </c>
      <c r="I114" t="s">
        <v>343</v>
      </c>
      <c r="J114" t="s">
        <v>3</v>
      </c>
      <c r="K114" t="s">
        <v>344</v>
      </c>
      <c r="L114">
        <v>1339</v>
      </c>
      <c r="N114">
        <v>1007</v>
      </c>
      <c r="O114" t="s">
        <v>30</v>
      </c>
      <c r="P114" t="s">
        <v>30</v>
      </c>
      <c r="Q114">
        <v>1</v>
      </c>
      <c r="X114">
        <v>51.8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 t="s">
        <v>164</v>
      </c>
      <c r="AG114">
        <v>0</v>
      </c>
      <c r="AH114">
        <v>2</v>
      </c>
      <c r="AI114">
        <v>90164082</v>
      </c>
      <c r="AJ114">
        <v>119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</row>
    <row r="115" spans="1:44" x14ac:dyDescent="0.2">
      <c r="A115">
        <f>ROW(Source!A211)</f>
        <v>211</v>
      </c>
      <c r="B115">
        <v>90164098</v>
      </c>
      <c r="C115">
        <v>90164069</v>
      </c>
      <c r="D115">
        <v>7178714</v>
      </c>
      <c r="E115">
        <v>7157832</v>
      </c>
      <c r="F115">
        <v>1</v>
      </c>
      <c r="G115">
        <v>7157832</v>
      </c>
      <c r="H115">
        <v>3</v>
      </c>
      <c r="I115" t="s">
        <v>345</v>
      </c>
      <c r="J115" t="s">
        <v>3</v>
      </c>
      <c r="K115" t="s">
        <v>346</v>
      </c>
      <c r="L115">
        <v>1339</v>
      </c>
      <c r="N115">
        <v>1007</v>
      </c>
      <c r="O115" t="s">
        <v>30</v>
      </c>
      <c r="P115" t="s">
        <v>30</v>
      </c>
      <c r="Q115">
        <v>1</v>
      </c>
      <c r="X115">
        <v>2.9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 t="s">
        <v>164</v>
      </c>
      <c r="AG115">
        <v>0</v>
      </c>
      <c r="AH115">
        <v>2</v>
      </c>
      <c r="AI115">
        <v>90164083</v>
      </c>
      <c r="AJ115">
        <v>120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</row>
    <row r="116" spans="1:44" x14ac:dyDescent="0.2">
      <c r="A116">
        <f>ROW(Source!A211)</f>
        <v>211</v>
      </c>
      <c r="B116">
        <v>90164099</v>
      </c>
      <c r="C116">
        <v>90164069</v>
      </c>
      <c r="D116">
        <v>7181116</v>
      </c>
      <c r="E116">
        <v>7157832</v>
      </c>
      <c r="F116">
        <v>1</v>
      </c>
      <c r="G116">
        <v>7157832</v>
      </c>
      <c r="H116">
        <v>3</v>
      </c>
      <c r="I116" t="s">
        <v>347</v>
      </c>
      <c r="J116" t="s">
        <v>3</v>
      </c>
      <c r="K116" t="s">
        <v>348</v>
      </c>
      <c r="L116">
        <v>1339</v>
      </c>
      <c r="N116">
        <v>1007</v>
      </c>
      <c r="O116" t="s">
        <v>30</v>
      </c>
      <c r="P116" t="s">
        <v>30</v>
      </c>
      <c r="Q116">
        <v>1</v>
      </c>
      <c r="X116">
        <v>52.8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 t="s">
        <v>164</v>
      </c>
      <c r="AG116">
        <v>0</v>
      </c>
      <c r="AH116">
        <v>2</v>
      </c>
      <c r="AI116">
        <v>90164084</v>
      </c>
      <c r="AJ116">
        <v>121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</row>
    <row r="117" spans="1:44" x14ac:dyDescent="0.2">
      <c r="A117">
        <f>ROW(Source!A212)</f>
        <v>212</v>
      </c>
      <c r="B117">
        <v>90164102</v>
      </c>
      <c r="C117">
        <v>90164100</v>
      </c>
      <c r="D117">
        <v>7159942</v>
      </c>
      <c r="E117">
        <v>7157832</v>
      </c>
      <c r="F117">
        <v>1</v>
      </c>
      <c r="G117">
        <v>7157832</v>
      </c>
      <c r="H117">
        <v>2</v>
      </c>
      <c r="I117" t="s">
        <v>279</v>
      </c>
      <c r="J117" t="s">
        <v>3</v>
      </c>
      <c r="K117" t="s">
        <v>280</v>
      </c>
      <c r="L117">
        <v>1344</v>
      </c>
      <c r="N117">
        <v>1008</v>
      </c>
      <c r="O117" t="s">
        <v>281</v>
      </c>
      <c r="P117" t="s">
        <v>281</v>
      </c>
      <c r="Q117">
        <v>1</v>
      </c>
      <c r="X117">
        <v>8.86</v>
      </c>
      <c r="Y117">
        <v>0</v>
      </c>
      <c r="Z117">
        <v>1</v>
      </c>
      <c r="AA117">
        <v>0</v>
      </c>
      <c r="AB117">
        <v>0</v>
      </c>
      <c r="AC117">
        <v>0</v>
      </c>
      <c r="AD117">
        <v>1</v>
      </c>
      <c r="AE117">
        <v>0</v>
      </c>
      <c r="AF117" t="s">
        <v>172</v>
      </c>
      <c r="AG117">
        <v>9.7460000000000004</v>
      </c>
      <c r="AH117">
        <v>2</v>
      </c>
      <c r="AI117">
        <v>90164101</v>
      </c>
      <c r="AJ117">
        <v>122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</row>
  </sheetData>
  <printOptions gridLines="1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Смета по ТСН-2001</vt:lpstr>
      <vt:lpstr>Source</vt:lpstr>
      <vt:lpstr>SourceObSm</vt:lpstr>
      <vt:lpstr>SmtRes</vt:lpstr>
      <vt:lpstr>EtalonRes</vt:lpstr>
      <vt:lpstr>'Смета по ТСН-2001'!Заголовки_для_печати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Карпеев Антон Сергеевич</dc:creator>
  <cp:lastModifiedBy>Мясоутов Марат Исхакович</cp:lastModifiedBy>
  <cp:lastPrinted>2017-02-17T11:58:30Z</cp:lastPrinted>
  <dcterms:created xsi:type="dcterms:W3CDTF">2016-11-11T12:22:31Z</dcterms:created>
  <dcterms:modified xsi:type="dcterms:W3CDTF">2017-03-16T07:33:37Z</dcterms:modified>
</cp:coreProperties>
</file>